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BC797388-67A4-4E49-9038-D2797BBE37C0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IA!$A$5:$AV$18</definedName>
    <definedName name="_xlnm._FilterDatabase" localSheetId="0" hidden="1">IK!$A$5:$Z$18</definedName>
    <definedName name="_xlnm._FilterDatabase" localSheetId="3" hidden="1">IKB!$A$5:$I$18</definedName>
    <definedName name="_xlnm._FilterDatabase" localSheetId="2" hidden="1">IP!$A$5:$L$18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19" i="2"/>
  <c r="Y19" i="2"/>
  <c r="Z19" i="2"/>
  <c r="AA1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C7" i="4"/>
  <c r="C8" i="4"/>
  <c r="C9" i="4"/>
  <c r="C10" i="4"/>
  <c r="C11" i="4"/>
  <c r="C12" i="4"/>
  <c r="C13" i="4"/>
  <c r="C14" i="4"/>
  <c r="C15" i="4"/>
  <c r="C16" i="4"/>
  <c r="C17" i="4"/>
  <c r="C18" i="4"/>
  <c r="B7" i="4"/>
  <c r="B8" i="4"/>
  <c r="B9" i="4"/>
  <c r="B10" i="4"/>
  <c r="B11" i="4"/>
  <c r="B12" i="4"/>
  <c r="B13" i="4"/>
  <c r="B14" i="4"/>
  <c r="B15" i="4"/>
  <c r="B16" i="4"/>
  <c r="B17" i="4"/>
  <c r="B18" i="4"/>
  <c r="A7" i="4"/>
  <c r="A8" i="4"/>
  <c r="A9" i="4"/>
  <c r="A10" i="4"/>
  <c r="A11" i="4"/>
  <c r="A12" i="4"/>
  <c r="A13" i="4"/>
  <c r="A14" i="4"/>
  <c r="A15" i="4"/>
  <c r="A16" i="4"/>
  <c r="A17" i="4"/>
  <c r="A18" i="4"/>
  <c r="E19" i="3"/>
  <c r="F19" i="3"/>
  <c r="G19" i="3"/>
  <c r="D19" i="3"/>
  <c r="J10" i="3"/>
  <c r="K10" i="3" s="1"/>
  <c r="J11" i="3"/>
  <c r="K11" i="3" s="1"/>
  <c r="J18" i="3"/>
  <c r="K18" i="3" s="1"/>
  <c r="L18" i="3" s="1"/>
  <c r="J7" i="3"/>
  <c r="K7" i="3" s="1"/>
  <c r="J9" i="3"/>
  <c r="K9" i="3" s="1"/>
  <c r="J13" i="3"/>
  <c r="K13" i="3" s="1"/>
  <c r="J14" i="3"/>
  <c r="K14" i="3" s="1"/>
  <c r="L14" i="3" s="1"/>
  <c r="J15" i="3"/>
  <c r="K15" i="3" s="1"/>
  <c r="J17" i="3"/>
  <c r="K17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1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C7" i="2"/>
  <c r="C8" i="2"/>
  <c r="C9" i="2"/>
  <c r="C10" i="2"/>
  <c r="C11" i="2"/>
  <c r="C12" i="2"/>
  <c r="C13" i="2"/>
  <c r="C14" i="2"/>
  <c r="C15" i="2"/>
  <c r="C16" i="2"/>
  <c r="C17" i="2"/>
  <c r="C18" i="2"/>
  <c r="B7" i="2"/>
  <c r="B8" i="2"/>
  <c r="B9" i="2"/>
  <c r="B10" i="2"/>
  <c r="B11" i="2"/>
  <c r="B12" i="2"/>
  <c r="B13" i="2"/>
  <c r="B14" i="2"/>
  <c r="B15" i="2"/>
  <c r="B16" i="2"/>
  <c r="B17" i="2"/>
  <c r="B18" i="2"/>
  <c r="A7" i="2"/>
  <c r="A8" i="2"/>
  <c r="A9" i="2"/>
  <c r="A10" i="2"/>
  <c r="A11" i="2"/>
  <c r="A12" i="2"/>
  <c r="A13" i="2"/>
  <c r="A14" i="2"/>
  <c r="A15" i="2"/>
  <c r="A16" i="2"/>
  <c r="A17" i="2"/>
  <c r="A1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19" i="1"/>
  <c r="F19" i="1"/>
  <c r="G19" i="1"/>
  <c r="H19" i="1"/>
  <c r="I19" i="1"/>
  <c r="J19" i="1"/>
  <c r="K19" i="1"/>
  <c r="L19" i="1"/>
  <c r="M19" i="1"/>
  <c r="N19" i="1"/>
  <c r="O19" i="1"/>
  <c r="D19" i="1"/>
  <c r="A1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C6" i="4"/>
  <c r="B6" i="4"/>
  <c r="A19" i="4" s="1"/>
  <c r="A6" i="4"/>
  <c r="C6" i="3"/>
  <c r="B6" i="3"/>
  <c r="A19" i="3" s="1"/>
  <c r="A6" i="3"/>
  <c r="AK6" i="2"/>
  <c r="AH6" i="2"/>
  <c r="AI6" i="2" s="1"/>
  <c r="AJ6" i="2" s="1"/>
  <c r="AE6" i="2"/>
  <c r="AB6" i="2"/>
  <c r="C6" i="2"/>
  <c r="B6" i="2"/>
  <c r="A1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4" i="2" l="1"/>
  <c r="AU14" i="2" s="1"/>
  <c r="AV14" i="2" s="1"/>
  <c r="E14" i="4" s="1"/>
  <c r="AT18" i="2"/>
  <c r="AB19" i="2"/>
  <c r="AN19" i="2"/>
  <c r="AK19" i="2"/>
  <c r="AH19" i="2"/>
  <c r="AI19" i="2" s="1"/>
  <c r="AJ19" i="2" s="1"/>
  <c r="AE19" i="2"/>
  <c r="AF19" i="2" s="1"/>
  <c r="AG19" i="2" s="1"/>
  <c r="AQ19" i="2"/>
  <c r="AR19" i="2" s="1"/>
  <c r="AS19" i="2" s="1"/>
  <c r="J16" i="3"/>
  <c r="K16" i="3" s="1"/>
  <c r="J12" i="3"/>
  <c r="K12" i="3" s="1"/>
  <c r="L12" i="3" s="1"/>
  <c r="J8" i="3"/>
  <c r="K8" i="3" s="1"/>
  <c r="L8" i="3" s="1"/>
  <c r="I19" i="3"/>
  <c r="P19" i="1"/>
  <c r="Q19" i="1" s="1"/>
  <c r="R19" i="1" s="1"/>
  <c r="S19" i="1" s="1"/>
  <c r="L17" i="3"/>
  <c r="F17" i="4"/>
  <c r="F13" i="4"/>
  <c r="L13" i="3"/>
  <c r="F9" i="4"/>
  <c r="L9" i="3"/>
  <c r="F16" i="4"/>
  <c r="L16" i="3"/>
  <c r="L15" i="3"/>
  <c r="F15" i="4"/>
  <c r="L11" i="3"/>
  <c r="F11" i="4"/>
  <c r="L7" i="3"/>
  <c r="F7" i="4"/>
  <c r="L10" i="3"/>
  <c r="F10" i="4"/>
  <c r="H19" i="3"/>
  <c r="X12" i="1"/>
  <c r="Y12" i="1" s="1"/>
  <c r="Z12" i="1" s="1"/>
  <c r="D12" i="4" s="1"/>
  <c r="T19" i="1"/>
  <c r="U19" i="1" s="1"/>
  <c r="V19" i="1" s="1"/>
  <c r="X16" i="1"/>
  <c r="Y16" i="1" s="1"/>
  <c r="Z16" i="1" s="1"/>
  <c r="D16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15" i="2"/>
  <c r="AU15" i="2" s="1"/>
  <c r="AV15" i="2" s="1"/>
  <c r="E15" i="4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7" i="2"/>
  <c r="AU7" i="2" s="1"/>
  <c r="AV7" i="2" s="1"/>
  <c r="E7" i="4" s="1"/>
  <c r="AT11" i="2"/>
  <c r="AU11" i="2" s="1"/>
  <c r="AV11" i="2" s="1"/>
  <c r="E11" i="4" s="1"/>
  <c r="AT10" i="2"/>
  <c r="AU10" i="2" s="1"/>
  <c r="AV10" i="2" s="1"/>
  <c r="E10" i="4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U18" i="2"/>
  <c r="AV18" i="2" s="1"/>
  <c r="E18" i="4" s="1"/>
  <c r="AO19" i="2"/>
  <c r="AP19" i="2" s="1"/>
  <c r="AL19" i="2"/>
  <c r="AM19" i="2" s="1"/>
  <c r="AC19" i="2"/>
  <c r="AD19" i="2" s="1"/>
  <c r="F18" i="4"/>
  <c r="F14" i="4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L6" i="3" s="1"/>
  <c r="F12" i="4" l="1"/>
  <c r="F8" i="4"/>
  <c r="J19" i="3"/>
  <c r="K19" i="3" s="1"/>
  <c r="F19" i="4" s="1"/>
  <c r="G17" i="4"/>
  <c r="H17" i="4" s="1"/>
  <c r="I17" i="4" s="1"/>
  <c r="G16" i="4"/>
  <c r="H16" i="4" s="1"/>
  <c r="I16" i="4" s="1"/>
  <c r="G9" i="4"/>
  <c r="H9" i="4" s="1"/>
  <c r="I9" i="4" s="1"/>
  <c r="G7" i="4"/>
  <c r="H7" i="4" s="1"/>
  <c r="I7" i="4" s="1"/>
  <c r="G8" i="4"/>
  <c r="H8" i="4" s="1"/>
  <c r="I8" i="4" s="1"/>
  <c r="G12" i="4"/>
  <c r="H12" i="4" s="1"/>
  <c r="I12" i="4" s="1"/>
  <c r="W19" i="1"/>
  <c r="X19" i="1"/>
  <c r="Y19" i="1" s="1"/>
  <c r="Z19" i="1" s="1"/>
  <c r="D19" i="4" s="1"/>
  <c r="G13" i="4"/>
  <c r="H13" i="4" s="1"/>
  <c r="I13" i="4" s="1"/>
  <c r="G14" i="4"/>
  <c r="H14" i="4" s="1"/>
  <c r="I14" i="4" s="1"/>
  <c r="G15" i="4"/>
  <c r="H15" i="4" s="1"/>
  <c r="I15" i="4" s="1"/>
  <c r="G11" i="4"/>
  <c r="H11" i="4" s="1"/>
  <c r="I11" i="4" s="1"/>
  <c r="G10" i="4"/>
  <c r="H10" i="4" s="1"/>
  <c r="I10" i="4" s="1"/>
  <c r="G18" i="4"/>
  <c r="H18" i="4" s="1"/>
  <c r="I18" i="4" s="1"/>
  <c r="AT19" i="2"/>
  <c r="AU19" i="2" s="1"/>
  <c r="AV19" i="2" s="1"/>
  <c r="E1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19" i="3" l="1"/>
  <c r="G19" i="4"/>
  <c r="H19" i="4" s="1"/>
  <c r="I1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F6" i="4"/>
  <c r="E167" i="10"/>
  <c r="F167" i="10" s="1"/>
  <c r="E413" i="10"/>
  <c r="F413" i="10" s="1"/>
  <c r="E552" i="10" l="1"/>
  <c r="F552" i="10" s="1"/>
  <c r="AU6" i="2" l="1"/>
  <c r="Z6" i="1"/>
  <c r="D6" i="4" l="1"/>
  <c r="AV6" i="2"/>
  <c r="E6" i="4" l="1"/>
  <c r="G6" i="4" l="1"/>
  <c r="H6" i="4" s="1"/>
  <c r="I6" i="4" l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<sst xmlns="http://schemas.openxmlformats.org/spreadsheetml/2006/main" count="1215" uniqueCount="624">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</sst>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34" x14ac:knownFonts="1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8" fillId="20" borderId="0" applyNumberFormat="0" applyBorder="0" applyAlignment="0" applyProtection="0"/>
    <xf numFmtId="0" fontId="10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8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8" fillId="19" borderId="0" applyNumberFormat="0" applyBorder="0" applyAlignment="0" applyProtection="0"/>
    <xf numFmtId="0" fontId="10" fillId="23" borderId="0" applyNumberFormat="0" applyBorder="0" applyAlignment="0" applyProtection="0"/>
    <xf numFmtId="0" fontId="18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20" fillId="29" borderId="0" applyNumberFormat="0" applyBorder="0" applyAlignment="0" applyProtection="0"/>
    <xf numFmtId="0" fontId="10" fillId="20" borderId="0" applyNumberFormat="0" applyBorder="0" applyAlignment="0" applyProtection="0"/>
    <xf numFmtId="0" fontId="18" fillId="24" borderId="0" applyNumberFormat="0" applyBorder="0" applyAlignment="0" applyProtection="0"/>
    <xf numFmtId="0" fontId="10" fillId="24" borderId="0" applyNumberFormat="0" applyBorder="0" applyAlignment="0" applyProtection="0"/>
    <xf numFmtId="0" fontId="18" fillId="30" borderId="0" applyNumberFormat="0" applyBorder="0" applyAlignment="0" applyProtection="0"/>
    <xf numFmtId="0" fontId="10" fillId="30" borderId="0" applyNumberFormat="0" applyBorder="0" applyAlignment="0" applyProtection="0"/>
    <xf numFmtId="0" fontId="18" fillId="31" borderId="0" applyNumberFormat="0" applyBorder="0" applyAlignment="0" applyProtection="0"/>
    <xf numFmtId="0" fontId="10" fillId="31" borderId="0" applyNumberFormat="0" applyBorder="0" applyAlignment="0" applyProtection="0"/>
    <xf numFmtId="0" fontId="18" fillId="14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21" fillId="36" borderId="6" applyNumberFormat="0" applyAlignment="0" applyProtection="0"/>
    <xf numFmtId="0" fontId="10" fillId="0" borderId="0"/>
    <xf numFmtId="0" fontId="22" fillId="37" borderId="7" applyNumberFormat="0" applyAlignment="0" applyProtection="0"/>
    <xf numFmtId="16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8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39" borderId="6" applyNumberFormat="0" applyAlignment="0" applyProtection="0"/>
    <xf numFmtId="0" fontId="29" fillId="0" borderId="9" applyNumberFormat="0" applyFill="0" applyAlignment="0" applyProtection="0"/>
    <xf numFmtId="0" fontId="10" fillId="0" borderId="0"/>
    <xf numFmtId="0" fontId="10" fillId="0" borderId="0"/>
    <xf numFmtId="0" fontId="30" fillId="40" borderId="0" applyNumberFormat="0" applyBorder="0" applyAlignment="0" applyProtection="0"/>
    <xf numFmtId="0" fontId="31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36" borderId="8" applyNumberFormat="0" applyAlignment="0" applyProtection="0"/>
    <xf numFmtId="0" fontId="4" fillId="0" borderId="5" applyNumberFormat="0" applyFill="0" applyAlignment="0" applyProtection="0"/>
    <xf numFmtId="0" fontId="33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3" fillId="0" borderId="1" xfId="1" applyNumberFormat="1" applyFont="1" applyFill="1" applyBorder="1" applyAlignment="1" applyProtection="1">
      <alignment horizontal="right"/>
      <protection locked="0"/>
    </xf>
    <xf numFmtId="171" fontId="14" fillId="0" borderId="1" xfId="2" applyNumberFormat="1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5" fillId="8" borderId="1" xfId="0" applyNumberFormat="1" applyFont="1" applyFill="1" applyBorder="1" applyAlignment="1">
      <alignment horizontal="center" vertical="center"/>
    </xf>
    <xf numFmtId="17" fontId="15" fillId="8" borderId="1" xfId="0" applyNumberFormat="1" applyFont="1" applyFill="1" applyBorder="1" applyAlignment="1">
      <alignment horizontal="center" vertical="center" wrapText="1"/>
    </xf>
    <xf numFmtId="17" fontId="15" fillId="9" borderId="1" xfId="0" applyNumberFormat="1" applyFont="1" applyFill="1" applyBorder="1" applyAlignment="1">
      <alignment horizontal="center" vertical="center"/>
    </xf>
    <xf numFmtId="17" fontId="15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6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171" fontId="6" fillId="0" borderId="1" xfId="2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18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24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O28" sqref="O28"/>
    </sheetView>
  </sheetViews>
  <sheetFormatPr defaultColWidth="0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79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 x14ac:dyDescent="0.25">
      <c r="A1" s="115" t="s">
        <v>0</v>
      </c>
      <c r="B1" s="115"/>
      <c r="C1" s="115"/>
      <c r="D1" s="80" t="s">
        <v>1</v>
      </c>
      <c r="E1" s="81">
        <v>45139</v>
      </c>
      <c r="F1" s="82" t="s">
        <v>2</v>
      </c>
      <c r="G1" s="83"/>
      <c r="H1" s="83"/>
      <c r="I1" s="83"/>
      <c r="J1" s="83"/>
      <c r="K1" s="83"/>
      <c r="L1" s="83"/>
      <c r="M1" s="83"/>
      <c r="N1" s="83"/>
      <c r="O1" s="83"/>
      <c r="P1" s="86"/>
      <c r="Q1" s="86"/>
      <c r="R1" s="86"/>
      <c r="S1" s="86"/>
      <c r="T1" s="86"/>
      <c r="U1" s="86"/>
      <c r="V1" s="86"/>
      <c r="W1" s="86"/>
      <c r="X1" s="78"/>
      <c r="Y1" s="86"/>
      <c r="Z1" s="86"/>
      <c r="AA1" s="86"/>
      <c r="AB1" s="86"/>
    </row>
    <row r="2" spans="1:28" ht="18.75" x14ac:dyDescent="0.25">
      <c r="A2" s="116"/>
      <c r="B2" s="117"/>
      <c r="C2" s="116"/>
      <c r="D2" s="117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6"/>
      <c r="Q2" s="86"/>
      <c r="R2" s="86"/>
      <c r="S2" s="86"/>
      <c r="T2" s="86"/>
      <c r="U2" s="86"/>
      <c r="V2" s="86"/>
      <c r="W2" s="86"/>
      <c r="X2" s="78"/>
      <c r="Y2" s="86"/>
      <c r="Z2" s="86"/>
      <c r="AA2" s="86"/>
      <c r="AB2" s="86"/>
    </row>
    <row r="3" spans="1:28" s="78" customFormat="1" ht="18" customHeight="1" x14ac:dyDescent="0.25">
      <c r="A3" s="118" t="s">
        <v>3</v>
      </c>
      <c r="B3" s="118" t="s">
        <v>4</v>
      </c>
      <c r="C3" s="118" t="s">
        <v>5</v>
      </c>
      <c r="D3" s="111" t="s">
        <v>6</v>
      </c>
      <c r="E3" s="111"/>
      <c r="F3" s="111"/>
      <c r="G3" s="111"/>
      <c r="H3" s="111"/>
      <c r="I3" s="111"/>
      <c r="J3" s="112" t="s">
        <v>7</v>
      </c>
      <c r="K3" s="112"/>
      <c r="L3" s="112"/>
      <c r="M3" s="112"/>
      <c r="N3" s="112"/>
      <c r="O3" s="112"/>
      <c r="P3" s="111" t="s">
        <v>6</v>
      </c>
      <c r="Q3" s="111"/>
      <c r="R3" s="111"/>
      <c r="S3" s="111"/>
      <c r="T3" s="112" t="s">
        <v>7</v>
      </c>
      <c r="U3" s="112"/>
      <c r="V3" s="112"/>
      <c r="W3" s="112"/>
      <c r="X3" s="110" t="s">
        <v>8</v>
      </c>
      <c r="Y3" s="110"/>
      <c r="Z3" s="110"/>
    </row>
    <row r="4" spans="1:28" s="78" customFormat="1" ht="18" customHeight="1" x14ac:dyDescent="0.25">
      <c r="A4" s="118"/>
      <c r="B4" s="118"/>
      <c r="C4" s="118"/>
      <c r="D4" s="111" t="s">
        <v>9</v>
      </c>
      <c r="E4" s="111"/>
      <c r="F4" s="111"/>
      <c r="G4" s="111"/>
      <c r="H4" s="111"/>
      <c r="I4" s="113" t="s">
        <v>10</v>
      </c>
      <c r="J4" s="112" t="s">
        <v>9</v>
      </c>
      <c r="K4" s="112"/>
      <c r="L4" s="112"/>
      <c r="M4" s="112"/>
      <c r="N4" s="112"/>
      <c r="O4" s="114" t="s">
        <v>10</v>
      </c>
      <c r="P4" s="113" t="s">
        <v>11</v>
      </c>
      <c r="Q4" s="111" t="s">
        <v>12</v>
      </c>
      <c r="R4" s="111"/>
      <c r="S4" s="111"/>
      <c r="T4" s="114" t="s">
        <v>11</v>
      </c>
      <c r="U4" s="112" t="s">
        <v>12</v>
      </c>
      <c r="V4" s="112"/>
      <c r="W4" s="112"/>
      <c r="X4" s="110"/>
      <c r="Y4" s="110"/>
      <c r="Z4" s="110"/>
    </row>
    <row r="5" spans="1:28" s="78" customFormat="1" ht="18" customHeight="1" x14ac:dyDescent="0.25">
      <c r="A5" s="118"/>
      <c r="B5" s="118"/>
      <c r="C5" s="118"/>
      <c r="D5" s="84">
        <v>2018</v>
      </c>
      <c r="E5" s="84">
        <v>2019</v>
      </c>
      <c r="F5" s="84">
        <v>2020</v>
      </c>
      <c r="G5" s="84">
        <v>2021</v>
      </c>
      <c r="H5" s="84">
        <v>2022</v>
      </c>
      <c r="I5" s="113"/>
      <c r="J5" s="87">
        <v>2018</v>
      </c>
      <c r="K5" s="87">
        <v>2019</v>
      </c>
      <c r="L5" s="87">
        <v>2020</v>
      </c>
      <c r="M5" s="87">
        <v>2021</v>
      </c>
      <c r="N5" s="87">
        <v>2022</v>
      </c>
      <c r="O5" s="114"/>
      <c r="P5" s="113" t="s">
        <v>11</v>
      </c>
      <c r="Q5" s="84" t="s">
        <v>13</v>
      </c>
      <c r="R5" s="84" t="s">
        <v>14</v>
      </c>
      <c r="S5" s="84" t="s">
        <v>15</v>
      </c>
      <c r="T5" s="114" t="s">
        <v>11</v>
      </c>
      <c r="U5" s="87" t="s">
        <v>13</v>
      </c>
      <c r="V5" s="87" t="s">
        <v>14</v>
      </c>
      <c r="W5" s="87" t="s">
        <v>15</v>
      </c>
      <c r="X5" s="91" t="s">
        <v>13</v>
      </c>
      <c r="Y5" s="91" t="s">
        <v>15</v>
      </c>
      <c r="Z5" s="91" t="s">
        <v>16</v>
      </c>
    </row>
    <row r="6" spans="1:28" x14ac:dyDescent="0.25">
      <c r="A6" s="8">
        <v>1</v>
      </c>
      <c r="B6" s="9" t="s">
        <v>427</v>
      </c>
      <c r="C6" s="10" t="s">
        <v>611</v>
      </c>
      <c r="D6" s="85">
        <v>2186</v>
      </c>
      <c r="E6" s="85">
        <v>1048</v>
      </c>
      <c r="F6" s="85">
        <v>2233</v>
      </c>
      <c r="G6" s="85">
        <v>3254</v>
      </c>
      <c r="H6" s="85">
        <v>6352</v>
      </c>
      <c r="I6" s="85">
        <v>4793</v>
      </c>
      <c r="J6" s="88"/>
      <c r="K6" s="88"/>
      <c r="L6" s="88"/>
      <c r="M6" s="88"/>
      <c r="N6" s="88"/>
      <c r="O6" s="89"/>
      <c r="P6" s="90">
        <f t="shared" ref="P6:P19" si="0">IF(ISERROR(AVERAGE(D6:H6)),0,AVERAGE(D6:H6))</f>
        <v>3014.6</v>
      </c>
      <c r="Q6" s="92">
        <f t="shared" ref="Q6:Q19" si="1">IF(ISERROR(((I6-P6)/P6)*100),0,((I6-P6)/P6)*100)</f>
        <v>58.992901214091432</v>
      </c>
      <c r="R6" s="93">
        <f t="shared" ref="R6:R19" si="2">IF(Q6="","",IF(Q6&gt;=5,3,IF(Q6&lt;-5,1,2)))</f>
        <v>3</v>
      </c>
      <c r="S6" s="93" t="str">
        <f t="shared" ref="S6:S19" si="3">IF(R6="","",IF(R6=3,"AMAN",IF(R6=1,"RENTAN","WASPADA")))</f>
        <v>AMAN</v>
      </c>
      <c r="T6" s="90">
        <f>(IF(ISERROR(AVERAGE(J6:N6)),0,AVERAGE(J6:N6)))+0.00001</f>
        <v>1.0000000000000001E-5</v>
      </c>
      <c r="U6" s="92">
        <f>(IF(ISERROR(((O6-T6)/T6)*100),0,((O6-T6)/T6)*100))+0.00001</f>
        <v>-99.999989999999997</v>
      </c>
      <c r="V6" s="93">
        <f t="shared" ref="V6:V19" si="4">IF(U6="","",IF(U6&lt;-5,3,IF(U6&gt;=5,1,IF(U6=0,3,2))))</f>
        <v>3</v>
      </c>
      <c r="W6" s="93" t="str">
        <f t="shared" ref="W6:W19" si="5">IF(V6="","",IF(V6=3,"AMAN",IF(V6=1,"RENTAN","WASPADA")))</f>
        <v>AMAN</v>
      </c>
      <c r="X6" s="93">
        <f t="shared" ref="X6:X19" si="6">R6+V6</f>
        <v>6</v>
      </c>
      <c r="Y6" s="93" t="str">
        <f>IF(X6="","",IF(X6&lt;=3,"RENTAN",IF(X6&gt;5,"AMAN","WASPADA")))</f>
        <v>AMAN</v>
      </c>
      <c r="Z6" s="93" t="str">
        <f t="shared" ref="Z6:Z19" si="7">IF(Y6="","",IF(Y6="AMAN","3",IF(Y6="RENTAN","1","2")))</f>
        <v>3</v>
      </c>
      <c r="AA6" s="94"/>
    </row>
    <row r="7" spans="1:28" x14ac:dyDescent="0.25">
      <c r="A7" s="8">
        <v>2</v>
      </c>
      <c r="B7" s="9" t="s">
        <v>427</v>
      </c>
      <c r="C7" s="10" t="s">
        <v>612</v>
      </c>
      <c r="D7" s="85">
        <v>5781</v>
      </c>
      <c r="E7" s="85">
        <v>3653</v>
      </c>
      <c r="F7" s="85">
        <v>2614</v>
      </c>
      <c r="G7" s="85">
        <v>2855</v>
      </c>
      <c r="H7" s="85">
        <v>2229</v>
      </c>
      <c r="I7" s="85">
        <v>2004</v>
      </c>
      <c r="J7" s="88"/>
      <c r="K7" s="88">
        <v>6</v>
      </c>
      <c r="L7" s="88"/>
      <c r="M7" s="88"/>
      <c r="N7" s="88"/>
      <c r="O7" s="89"/>
      <c r="P7" s="90">
        <f t="shared" si="0"/>
        <v>3426.4</v>
      </c>
      <c r="Q7" s="92">
        <f t="shared" si="1"/>
        <v>-41.512958206864347</v>
      </c>
      <c r="R7" s="93">
        <f t="shared" si="2"/>
        <v>1</v>
      </c>
      <c r="S7" s="93" t="str">
        <f t="shared" si="3"/>
        <v>RENTAN</v>
      </c>
      <c r="T7" s="90">
        <f t="shared" ref="T7:T19" si="8">(IF(ISERROR(AVERAGE(J7:N7)),0,AVERAGE(J7:N7)))+0.00001</f>
        <v>6.0000099999999996</v>
      </c>
      <c r="U7" s="92">
        <f t="shared" ref="U7:U19" si="9">(IF(ISERROR(((O7-T7)/T7)*100),0,((O7-T7)/T7)*100))+0.00001</f>
        <v>-99.999989999999997</v>
      </c>
      <c r="V7" s="93">
        <f t="shared" si="4"/>
        <v>3</v>
      </c>
      <c r="W7" s="93" t="str">
        <f t="shared" si="5"/>
        <v>AMAN</v>
      </c>
      <c r="X7" s="93">
        <f t="shared" si="6"/>
        <v>4</v>
      </c>
      <c r="Y7" s="93" t="str">
        <f t="shared" ref="Y7:Y18" si="10">IF(X7="","",IF(X7&lt;=3,"RENTAN",IF(X7&gt;5,"AMAN","WASPADA")))</f>
        <v>WASPADA</v>
      </c>
      <c r="Z7" s="93" t="str">
        <f t="shared" si="7"/>
        <v>2</v>
      </c>
      <c r="AA7" s="94"/>
    </row>
    <row r="8" spans="1:28" x14ac:dyDescent="0.25">
      <c r="A8" s="8">
        <v>3</v>
      </c>
      <c r="B8" s="9" t="s">
        <v>427</v>
      </c>
      <c r="C8" s="10" t="s">
        <v>613</v>
      </c>
      <c r="D8" s="85">
        <v>2092</v>
      </c>
      <c r="E8" s="85">
        <v>990</v>
      </c>
      <c r="F8" s="85">
        <v>1452</v>
      </c>
      <c r="G8" s="85">
        <v>2344</v>
      </c>
      <c r="H8" s="85">
        <v>2470</v>
      </c>
      <c r="I8" s="85">
        <v>1758</v>
      </c>
      <c r="J8" s="88"/>
      <c r="K8" s="88"/>
      <c r="L8" s="88"/>
      <c r="M8" s="88"/>
      <c r="N8" s="88"/>
      <c r="O8" s="89"/>
      <c r="P8" s="90">
        <f t="shared" si="0"/>
        <v>1869.6</v>
      </c>
      <c r="Q8" s="92">
        <f t="shared" si="1"/>
        <v>-5.9691912708600725</v>
      </c>
      <c r="R8" s="93">
        <f t="shared" si="2"/>
        <v>1</v>
      </c>
      <c r="S8" s="93" t="str">
        <f t="shared" si="3"/>
        <v>RENTAN</v>
      </c>
      <c r="T8" s="90">
        <f t="shared" si="8"/>
        <v>1.0000000000000001E-5</v>
      </c>
      <c r="U8" s="92">
        <f t="shared" si="9"/>
        <v>-99.999989999999997</v>
      </c>
      <c r="V8" s="93">
        <f t="shared" si="4"/>
        <v>3</v>
      </c>
      <c r="W8" s="93" t="str">
        <f t="shared" si="5"/>
        <v>AMAN</v>
      </c>
      <c r="X8" s="93">
        <f t="shared" si="6"/>
        <v>4</v>
      </c>
      <c r="Y8" s="93" t="str">
        <f t="shared" si="10"/>
        <v>WASPADA</v>
      </c>
      <c r="Z8" s="93" t="str">
        <f t="shared" si="7"/>
        <v>2</v>
      </c>
      <c r="AA8" s="94"/>
    </row>
    <row r="9" spans="1:28" x14ac:dyDescent="0.25">
      <c r="A9" s="8">
        <v>4</v>
      </c>
      <c r="B9" s="9" t="s">
        <v>427</v>
      </c>
      <c r="C9" s="10" t="s">
        <v>614</v>
      </c>
      <c r="D9" s="85">
        <v>1285</v>
      </c>
      <c r="E9" s="85">
        <v>1215</v>
      </c>
      <c r="F9" s="85">
        <v>1347</v>
      </c>
      <c r="G9" s="85">
        <v>378</v>
      </c>
      <c r="H9" s="85">
        <v>709</v>
      </c>
      <c r="I9" s="85">
        <v>1925</v>
      </c>
      <c r="J9" s="88"/>
      <c r="K9" s="88"/>
      <c r="L9" s="88"/>
      <c r="M9" s="88">
        <v>1</v>
      </c>
      <c r="N9" s="88"/>
      <c r="O9" s="89"/>
      <c r="P9" s="90">
        <f t="shared" si="0"/>
        <v>986.8</v>
      </c>
      <c r="Q9" s="92">
        <f t="shared" si="1"/>
        <v>95.074989866234304</v>
      </c>
      <c r="R9" s="93">
        <f t="shared" si="2"/>
        <v>3</v>
      </c>
      <c r="S9" s="93" t="str">
        <f t="shared" si="3"/>
        <v>AMAN</v>
      </c>
      <c r="T9" s="90">
        <f t="shared" si="8"/>
        <v>1.0000100000000001</v>
      </c>
      <c r="U9" s="92">
        <f t="shared" si="9"/>
        <v>-99.999989999999997</v>
      </c>
      <c r="V9" s="93">
        <f t="shared" si="4"/>
        <v>3</v>
      </c>
      <c r="W9" s="93" t="str">
        <f t="shared" si="5"/>
        <v>AMAN</v>
      </c>
      <c r="X9" s="93">
        <f t="shared" si="6"/>
        <v>6</v>
      </c>
      <c r="Y9" s="93" t="str">
        <f t="shared" si="10"/>
        <v>AMAN</v>
      </c>
      <c r="Z9" s="93" t="str">
        <f t="shared" si="7"/>
        <v>3</v>
      </c>
      <c r="AA9" s="94"/>
    </row>
    <row r="10" spans="1:28" x14ac:dyDescent="0.25">
      <c r="A10" s="8">
        <v>5</v>
      </c>
      <c r="B10" s="9" t="s">
        <v>427</v>
      </c>
      <c r="C10" s="10" t="s">
        <v>615</v>
      </c>
      <c r="D10" s="85">
        <v>444</v>
      </c>
      <c r="E10" s="85">
        <v>636</v>
      </c>
      <c r="F10" s="85">
        <v>768</v>
      </c>
      <c r="G10" s="85">
        <v>741</v>
      </c>
      <c r="H10" s="85">
        <v>598</v>
      </c>
      <c r="I10" s="85">
        <v>616</v>
      </c>
      <c r="J10" s="88"/>
      <c r="K10" s="88"/>
      <c r="L10" s="88"/>
      <c r="M10" s="88"/>
      <c r="N10" s="88"/>
      <c r="O10" s="89"/>
      <c r="P10" s="90">
        <f t="shared" si="0"/>
        <v>637.4</v>
      </c>
      <c r="Q10" s="92">
        <f t="shared" si="1"/>
        <v>-3.3573893944148065</v>
      </c>
      <c r="R10" s="93">
        <f t="shared" si="2"/>
        <v>2</v>
      </c>
      <c r="S10" s="93" t="str">
        <f t="shared" si="3"/>
        <v>WASPADA</v>
      </c>
      <c r="T10" s="90">
        <f t="shared" si="8"/>
        <v>1.0000000000000001E-5</v>
      </c>
      <c r="U10" s="92">
        <f t="shared" si="9"/>
        <v>-99.999989999999997</v>
      </c>
      <c r="V10" s="93">
        <f t="shared" si="4"/>
        <v>3</v>
      </c>
      <c r="W10" s="93" t="str">
        <f t="shared" si="5"/>
        <v>AMAN</v>
      </c>
      <c r="X10" s="93">
        <f t="shared" si="6"/>
        <v>5</v>
      </c>
      <c r="Y10" s="93" t="str">
        <f t="shared" si="10"/>
        <v>WASPADA</v>
      </c>
      <c r="Z10" s="93" t="str">
        <f t="shared" si="7"/>
        <v>2</v>
      </c>
      <c r="AA10" s="94"/>
    </row>
    <row r="11" spans="1:28" x14ac:dyDescent="0.25">
      <c r="A11" s="8">
        <v>6</v>
      </c>
      <c r="B11" s="9" t="s">
        <v>427</v>
      </c>
      <c r="C11" s="10" t="s">
        <v>616</v>
      </c>
      <c r="D11" s="85">
        <v>2577</v>
      </c>
      <c r="E11" s="85">
        <v>2417</v>
      </c>
      <c r="F11" s="85">
        <v>2473</v>
      </c>
      <c r="G11" s="85">
        <v>2191</v>
      </c>
      <c r="H11" s="85">
        <v>1660</v>
      </c>
      <c r="I11" s="85">
        <v>592</v>
      </c>
      <c r="J11" s="88"/>
      <c r="K11" s="88"/>
      <c r="L11" s="88"/>
      <c r="M11" s="88"/>
      <c r="N11" s="88"/>
      <c r="O11" s="89">
        <v>0</v>
      </c>
      <c r="P11" s="90">
        <f t="shared" si="0"/>
        <v>2263.6</v>
      </c>
      <c r="Q11" s="92">
        <f t="shared" si="1"/>
        <v>-73.846969429227784</v>
      </c>
      <c r="R11" s="93">
        <f t="shared" si="2"/>
        <v>1</v>
      </c>
      <c r="S11" s="93" t="str">
        <f t="shared" si="3"/>
        <v>RENTAN</v>
      </c>
      <c r="T11" s="90">
        <f t="shared" si="8"/>
        <v>1.0000000000000001E-5</v>
      </c>
      <c r="U11" s="92">
        <f t="shared" si="9"/>
        <v>-99.999989999999997</v>
      </c>
      <c r="V11" s="93">
        <f t="shared" si="4"/>
        <v>3</v>
      </c>
      <c r="W11" s="93" t="str">
        <f t="shared" si="5"/>
        <v>AMAN</v>
      </c>
      <c r="X11" s="93">
        <f t="shared" si="6"/>
        <v>4</v>
      </c>
      <c r="Y11" s="93" t="str">
        <f t="shared" si="10"/>
        <v>WASPADA</v>
      </c>
      <c r="Z11" s="93" t="str">
        <f t="shared" si="7"/>
        <v>2</v>
      </c>
      <c r="AA11" s="94"/>
    </row>
    <row r="12" spans="1:28" x14ac:dyDescent="0.25">
      <c r="A12" s="8">
        <v>7</v>
      </c>
      <c r="B12" s="9" t="s">
        <v>427</v>
      </c>
      <c r="C12" s="10" t="s">
        <v>617</v>
      </c>
      <c r="D12" s="85">
        <v>218</v>
      </c>
      <c r="E12" s="85">
        <v>79</v>
      </c>
      <c r="F12" s="85">
        <v>38</v>
      </c>
      <c r="G12" s="85">
        <v>6</v>
      </c>
      <c r="H12" s="85">
        <v>64</v>
      </c>
      <c r="I12" s="85">
        <v>49</v>
      </c>
      <c r="J12" s="88"/>
      <c r="K12" s="88"/>
      <c r="L12" s="88"/>
      <c r="M12" s="88"/>
      <c r="N12" s="88"/>
      <c r="O12" s="89"/>
      <c r="P12" s="90">
        <f t="shared" si="0"/>
        <v>81</v>
      </c>
      <c r="Q12" s="92">
        <f t="shared" si="1"/>
        <v>-39.506172839506171</v>
      </c>
      <c r="R12" s="93">
        <f t="shared" si="2"/>
        <v>1</v>
      </c>
      <c r="S12" s="93" t="str">
        <f t="shared" si="3"/>
        <v>RENTAN</v>
      </c>
      <c r="T12" s="90">
        <f t="shared" si="8"/>
        <v>1.0000000000000001E-5</v>
      </c>
      <c r="U12" s="92">
        <f t="shared" si="9"/>
        <v>-99.999989999999997</v>
      </c>
      <c r="V12" s="93">
        <f t="shared" si="4"/>
        <v>3</v>
      </c>
      <c r="W12" s="93" t="str">
        <f t="shared" si="5"/>
        <v>AMAN</v>
      </c>
      <c r="X12" s="93">
        <f t="shared" si="6"/>
        <v>4</v>
      </c>
      <c r="Y12" s="93" t="str">
        <f t="shared" si="10"/>
        <v>WASPADA</v>
      </c>
      <c r="Z12" s="93" t="str">
        <f t="shared" si="7"/>
        <v>2</v>
      </c>
      <c r="AA12" s="94"/>
    </row>
    <row r="13" spans="1:28" x14ac:dyDescent="0.25">
      <c r="A13" s="8">
        <v>8</v>
      </c>
      <c r="B13" s="9" t="s">
        <v>427</v>
      </c>
      <c r="C13" s="10" t="s">
        <v>618</v>
      </c>
      <c r="D13" s="85">
        <v>5609</v>
      </c>
      <c r="E13" s="85">
        <v>6619</v>
      </c>
      <c r="F13" s="85">
        <v>1266</v>
      </c>
      <c r="G13" s="85">
        <v>5438</v>
      </c>
      <c r="H13" s="85">
        <v>2740</v>
      </c>
      <c r="I13" s="85">
        <v>6172</v>
      </c>
      <c r="J13" s="88"/>
      <c r="K13" s="88"/>
      <c r="L13" s="88"/>
      <c r="M13" s="88"/>
      <c r="N13" s="88"/>
      <c r="O13" s="89"/>
      <c r="P13" s="90">
        <f t="shared" si="0"/>
        <v>4334.3999999999996</v>
      </c>
      <c r="Q13" s="92">
        <f t="shared" si="1"/>
        <v>42.395717977113343</v>
      </c>
      <c r="R13" s="93">
        <f t="shared" si="2"/>
        <v>3</v>
      </c>
      <c r="S13" s="93" t="str">
        <f t="shared" si="3"/>
        <v>AMAN</v>
      </c>
      <c r="T13" s="90">
        <f t="shared" si="8"/>
        <v>1.0000000000000001E-5</v>
      </c>
      <c r="U13" s="92">
        <f t="shared" si="9"/>
        <v>-99.999989999999997</v>
      </c>
      <c r="V13" s="93">
        <f t="shared" si="4"/>
        <v>3</v>
      </c>
      <c r="W13" s="93" t="str">
        <f t="shared" si="5"/>
        <v>AMAN</v>
      </c>
      <c r="X13" s="93">
        <f t="shared" si="6"/>
        <v>6</v>
      </c>
      <c r="Y13" s="93" t="str">
        <f t="shared" si="10"/>
        <v>AMAN</v>
      </c>
      <c r="Z13" s="93" t="str">
        <f t="shared" si="7"/>
        <v>3</v>
      </c>
      <c r="AA13" s="94"/>
    </row>
    <row r="14" spans="1:28" x14ac:dyDescent="0.25">
      <c r="A14" s="8">
        <v>9</v>
      </c>
      <c r="B14" s="9" t="s">
        <v>427</v>
      </c>
      <c r="C14" s="10" t="s">
        <v>619</v>
      </c>
      <c r="D14" s="85">
        <v>126</v>
      </c>
      <c r="E14" s="85">
        <v>68</v>
      </c>
      <c r="F14" s="85">
        <v>152</v>
      </c>
      <c r="G14" s="85">
        <v>32.4</v>
      </c>
      <c r="H14" s="85">
        <v>94</v>
      </c>
      <c r="I14" s="85">
        <v>61.74</v>
      </c>
      <c r="J14" s="88"/>
      <c r="K14" s="88"/>
      <c r="L14" s="88"/>
      <c r="M14" s="88"/>
      <c r="N14" s="88"/>
      <c r="O14" s="89"/>
      <c r="P14" s="90">
        <f t="shared" si="0"/>
        <v>94.47999999999999</v>
      </c>
      <c r="Q14" s="92">
        <f t="shared" si="1"/>
        <v>-34.652836579170184</v>
      </c>
      <c r="R14" s="93">
        <f t="shared" si="2"/>
        <v>1</v>
      </c>
      <c r="S14" s="93" t="str">
        <f t="shared" si="3"/>
        <v>RENTAN</v>
      </c>
      <c r="T14" s="90">
        <f t="shared" si="8"/>
        <v>1.0000000000000001E-5</v>
      </c>
      <c r="U14" s="92">
        <f t="shared" si="9"/>
        <v>-99.999989999999997</v>
      </c>
      <c r="V14" s="93">
        <f t="shared" si="4"/>
        <v>3</v>
      </c>
      <c r="W14" s="93" t="str">
        <f t="shared" si="5"/>
        <v>AMAN</v>
      </c>
      <c r="X14" s="93">
        <f t="shared" si="6"/>
        <v>4</v>
      </c>
      <c r="Y14" s="93" t="str">
        <f t="shared" si="10"/>
        <v>WASPADA</v>
      </c>
      <c r="Z14" s="93" t="str">
        <f t="shared" si="7"/>
        <v>2</v>
      </c>
      <c r="AA14" s="94"/>
    </row>
    <row r="15" spans="1:28" x14ac:dyDescent="0.25">
      <c r="A15" s="8">
        <v>10</v>
      </c>
      <c r="B15" s="9" t="s">
        <v>427</v>
      </c>
      <c r="C15" s="10" t="s">
        <v>620</v>
      </c>
      <c r="D15" s="85">
        <v>2688</v>
      </c>
      <c r="E15" s="85">
        <v>1547</v>
      </c>
      <c r="F15" s="85">
        <v>1506</v>
      </c>
      <c r="G15" s="85">
        <v>2183</v>
      </c>
      <c r="H15" s="85">
        <v>1598</v>
      </c>
      <c r="I15" s="85">
        <v>1526</v>
      </c>
      <c r="J15" s="88"/>
      <c r="K15" s="88"/>
      <c r="L15" s="88"/>
      <c r="M15" s="88"/>
      <c r="N15" s="88"/>
      <c r="O15" s="89"/>
      <c r="P15" s="90">
        <f t="shared" si="0"/>
        <v>1904.4</v>
      </c>
      <c r="Q15" s="92">
        <f t="shared" si="1"/>
        <v>-19.86977525729889</v>
      </c>
      <c r="R15" s="93">
        <f t="shared" si="2"/>
        <v>1</v>
      </c>
      <c r="S15" s="93" t="str">
        <f t="shared" si="3"/>
        <v>RENTAN</v>
      </c>
      <c r="T15" s="90">
        <f t="shared" si="8"/>
        <v>1.0000000000000001E-5</v>
      </c>
      <c r="U15" s="92">
        <f t="shared" si="9"/>
        <v>-99.999989999999997</v>
      </c>
      <c r="V15" s="93">
        <f t="shared" si="4"/>
        <v>3</v>
      </c>
      <c r="W15" s="93" t="str">
        <f t="shared" si="5"/>
        <v>AMAN</v>
      </c>
      <c r="X15" s="93">
        <f t="shared" si="6"/>
        <v>4</v>
      </c>
      <c r="Y15" s="93" t="str">
        <f t="shared" si="10"/>
        <v>WASPADA</v>
      </c>
      <c r="Z15" s="93" t="str">
        <f t="shared" si="7"/>
        <v>2</v>
      </c>
      <c r="AA15" s="94"/>
    </row>
    <row r="16" spans="1:28" x14ac:dyDescent="0.25">
      <c r="A16" s="8">
        <v>11</v>
      </c>
      <c r="B16" s="9" t="s">
        <v>427</v>
      </c>
      <c r="C16" s="10" t="s">
        <v>621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8"/>
      <c r="K16" s="88"/>
      <c r="L16" s="88"/>
      <c r="M16" s="88"/>
      <c r="N16" s="88"/>
      <c r="O16" s="89"/>
      <c r="P16" s="90">
        <f t="shared" si="0"/>
        <v>0</v>
      </c>
      <c r="Q16" s="92">
        <f t="shared" si="1"/>
        <v>0</v>
      </c>
      <c r="R16" s="93">
        <f t="shared" si="2"/>
        <v>2</v>
      </c>
      <c r="S16" s="93" t="str">
        <f t="shared" si="3"/>
        <v>WASPADA</v>
      </c>
      <c r="T16" s="90">
        <f t="shared" si="8"/>
        <v>1.0000000000000001E-5</v>
      </c>
      <c r="U16" s="92">
        <f t="shared" si="9"/>
        <v>-99.999989999999997</v>
      </c>
      <c r="V16" s="93">
        <f t="shared" si="4"/>
        <v>3</v>
      </c>
      <c r="W16" s="93" t="str">
        <f t="shared" si="5"/>
        <v>AMAN</v>
      </c>
      <c r="X16" s="93">
        <f t="shared" si="6"/>
        <v>5</v>
      </c>
      <c r="Y16" s="93" t="str">
        <f t="shared" si="10"/>
        <v>WASPADA</v>
      </c>
      <c r="Z16" s="93" t="str">
        <f t="shared" si="7"/>
        <v>2</v>
      </c>
      <c r="AA16" s="94"/>
    </row>
    <row r="17" spans="1:27" x14ac:dyDescent="0.25">
      <c r="A17" s="8">
        <v>12</v>
      </c>
      <c r="B17" s="9" t="s">
        <v>427</v>
      </c>
      <c r="C17" s="10" t="s">
        <v>622</v>
      </c>
      <c r="D17" s="85">
        <v>3242</v>
      </c>
      <c r="E17" s="85">
        <v>2052</v>
      </c>
      <c r="F17" s="85">
        <v>3622</v>
      </c>
      <c r="G17" s="85">
        <v>2806</v>
      </c>
      <c r="H17" s="85">
        <v>1670</v>
      </c>
      <c r="I17" s="85">
        <v>1544</v>
      </c>
      <c r="J17" s="88"/>
      <c r="K17" s="88"/>
      <c r="L17" s="88"/>
      <c r="M17" s="88"/>
      <c r="N17" s="88"/>
      <c r="O17" s="89">
        <v>0</v>
      </c>
      <c r="P17" s="90">
        <f t="shared" si="0"/>
        <v>2678.4</v>
      </c>
      <c r="Q17" s="92">
        <f t="shared" si="1"/>
        <v>-42.353643966547196</v>
      </c>
      <c r="R17" s="93">
        <f t="shared" si="2"/>
        <v>1</v>
      </c>
      <c r="S17" s="93" t="str">
        <f t="shared" si="3"/>
        <v>RENTAN</v>
      </c>
      <c r="T17" s="90">
        <f t="shared" si="8"/>
        <v>1.0000000000000001E-5</v>
      </c>
      <c r="U17" s="92">
        <f t="shared" si="9"/>
        <v>-99.999989999999997</v>
      </c>
      <c r="V17" s="93">
        <f t="shared" si="4"/>
        <v>3</v>
      </c>
      <c r="W17" s="93" t="str">
        <f t="shared" si="5"/>
        <v>AMAN</v>
      </c>
      <c r="X17" s="93">
        <f t="shared" si="6"/>
        <v>4</v>
      </c>
      <c r="Y17" s="93" t="str">
        <f t="shared" si="10"/>
        <v>WASPADA</v>
      </c>
      <c r="Z17" s="93" t="str">
        <f t="shared" si="7"/>
        <v>2</v>
      </c>
      <c r="AA17" s="94"/>
    </row>
    <row r="18" spans="1:27" x14ac:dyDescent="0.25">
      <c r="A18" s="8">
        <v>13</v>
      </c>
      <c r="B18" s="9" t="s">
        <v>427</v>
      </c>
      <c r="C18" s="10" t="s">
        <v>623</v>
      </c>
      <c r="D18" s="85">
        <v>74</v>
      </c>
      <c r="E18" s="85">
        <v>11</v>
      </c>
      <c r="F18" s="85">
        <v>32</v>
      </c>
      <c r="G18" s="85">
        <v>44</v>
      </c>
      <c r="H18" s="85">
        <v>61</v>
      </c>
      <c r="I18" s="85">
        <v>7.37</v>
      </c>
      <c r="J18" s="88"/>
      <c r="K18" s="88"/>
      <c r="L18" s="88"/>
      <c r="M18" s="88"/>
      <c r="N18" s="88"/>
      <c r="O18" s="89"/>
      <c r="P18" s="90">
        <f t="shared" si="0"/>
        <v>44.4</v>
      </c>
      <c r="Q18" s="92">
        <f t="shared" si="1"/>
        <v>-83.400900900900908</v>
      </c>
      <c r="R18" s="93">
        <f t="shared" si="2"/>
        <v>1</v>
      </c>
      <c r="S18" s="93" t="str">
        <f t="shared" si="3"/>
        <v>RENTAN</v>
      </c>
      <c r="T18" s="90">
        <f t="shared" si="8"/>
        <v>1.0000000000000001E-5</v>
      </c>
      <c r="U18" s="92">
        <f t="shared" si="9"/>
        <v>-99.999989999999997</v>
      </c>
      <c r="V18" s="93">
        <f t="shared" si="4"/>
        <v>3</v>
      </c>
      <c r="W18" s="93" t="str">
        <f t="shared" si="5"/>
        <v>AMAN</v>
      </c>
      <c r="X18" s="93">
        <f t="shared" si="6"/>
        <v>4</v>
      </c>
      <c r="Y18" s="93" t="str">
        <f t="shared" si="10"/>
        <v>WASPADA</v>
      </c>
      <c r="Z18" s="93" t="str">
        <f t="shared" si="7"/>
        <v>2</v>
      </c>
      <c r="AA18" s="94"/>
    </row>
    <row r="19" spans="1:27" x14ac:dyDescent="0.25">
      <c r="A19" s="109" t="str">
        <f>B3&amp;""&amp;B6</f>
        <v>PROVINSISulawesi Tengah</v>
      </c>
      <c r="B19" s="109"/>
      <c r="C19" s="109"/>
      <c r="D19" s="102">
        <f t="shared" ref="D19:O19" si="11">SUM(D6:D18)</f>
        <v>26322</v>
      </c>
      <c r="E19" s="102">
        <f t="shared" si="11"/>
        <v>20335</v>
      </c>
      <c r="F19" s="102">
        <f t="shared" si="11"/>
        <v>17503</v>
      </c>
      <c r="G19" s="102">
        <f t="shared" si="11"/>
        <v>22272.400000000001</v>
      </c>
      <c r="H19" s="102">
        <f t="shared" si="11"/>
        <v>20245</v>
      </c>
      <c r="I19" s="102">
        <f t="shared" si="11"/>
        <v>21048.11</v>
      </c>
      <c r="J19" s="102">
        <f t="shared" si="11"/>
        <v>0</v>
      </c>
      <c r="K19" s="102">
        <f t="shared" si="11"/>
        <v>6</v>
      </c>
      <c r="L19" s="102">
        <f t="shared" si="11"/>
        <v>0</v>
      </c>
      <c r="M19" s="102">
        <f t="shared" si="11"/>
        <v>1</v>
      </c>
      <c r="N19" s="102">
        <f t="shared" si="11"/>
        <v>0</v>
      </c>
      <c r="O19" s="102">
        <f t="shared" si="11"/>
        <v>0</v>
      </c>
      <c r="P19" s="103">
        <f t="shared" si="0"/>
        <v>21335.48</v>
      </c>
      <c r="Q19" s="104">
        <f t="shared" si="1"/>
        <v>-1.346911342046202</v>
      </c>
      <c r="R19" s="105">
        <f t="shared" si="2"/>
        <v>2</v>
      </c>
      <c r="S19" s="105" t="str">
        <f t="shared" si="3"/>
        <v>WASPADA</v>
      </c>
      <c r="T19" s="103">
        <f t="shared" si="8"/>
        <v>1.40001</v>
      </c>
      <c r="U19" s="104">
        <f t="shared" si="9"/>
        <v>-99.999989999999997</v>
      </c>
      <c r="V19" s="105">
        <f t="shared" si="4"/>
        <v>3</v>
      </c>
      <c r="W19" s="105" t="str">
        <f t="shared" si="5"/>
        <v>AMAN</v>
      </c>
      <c r="X19" s="105">
        <f t="shared" si="6"/>
        <v>5</v>
      </c>
      <c r="Y19" s="105" t="str">
        <f>IF(X19="","",IF(X19&lt;=3,"RENTAN",IF(X19&gt;5,"AMAN","WASPADA")))</f>
        <v>WASPADA</v>
      </c>
      <c r="Z19" s="105" t="str">
        <f t="shared" si="7"/>
        <v>2</v>
      </c>
    </row>
    <row r="21" spans="1:27" x14ac:dyDescent="0.25">
      <c r="J21"/>
      <c r="K21"/>
    </row>
    <row r="22" spans="1:27" x14ac:dyDescent="0.25">
      <c r="J22"/>
      <c r="K22"/>
    </row>
    <row r="23" spans="1:27" x14ac:dyDescent="0.25">
      <c r="J23"/>
      <c r="K23"/>
    </row>
    <row r="24" spans="1:27" x14ac:dyDescent="0.25">
      <c r="J24"/>
      <c r="K24"/>
    </row>
  </sheetData>
  <autoFilter ref="A5:Z18" xr:uid="{00000000-0009-0000-0000-000000000000}"/>
  <mergeCells count="20">
    <mergeCell ref="A1:C1"/>
    <mergeCell ref="A2:B2"/>
    <mergeCell ref="C2:D2"/>
    <mergeCell ref="D3:I3"/>
    <mergeCell ref="J3:O3"/>
    <mergeCell ref="A3:A5"/>
    <mergeCell ref="B3:B5"/>
    <mergeCell ref="C3:C5"/>
    <mergeCell ref="A19:C1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</mergeCells>
  <conditionalFormatting sqref="Y5 Y6:Z19">
    <cfRule type="cellIs" dxfId="17" priority="139" operator="equal">
      <formula>"AMAN"</formula>
    </cfRule>
    <cfRule type="cellIs" dxfId="16" priority="140" operator="equal">
      <formula>"WASPADA"</formula>
    </cfRule>
    <cfRule type="cellIs" dxfId="15" priority="141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19"/>
  <sheetViews>
    <sheetView showGridLines="0" zoomScale="82" zoomScaleNormal="82" workbookViewId="0">
      <pane xSplit="3" ySplit="6" topLeftCell="D7" activePane="bottomRight" state="frozen"/>
      <selection pane="topRight"/>
      <selection pane="bottomLeft"/>
      <selection pane="bottomRight" activeCell="AA8" sqref="AA8"/>
    </sheetView>
  </sheetViews>
  <sheetFormatPr defaultColWidth="0" defaultRowHeight="15" x14ac:dyDescent="0.25"/>
  <cols>
    <col min="1" max="1" width="5.140625" style="48" customWidth="1"/>
    <col min="2" max="2" width="21.140625" style="48" customWidth="1"/>
    <col min="3" max="3" width="37.5703125" style="48" customWidth="1"/>
    <col min="4" max="27" width="10.140625" style="48" customWidth="1"/>
    <col min="28" max="28" width="10.85546875" style="49" customWidth="1"/>
    <col min="29" max="29" width="10.85546875" style="50" customWidth="1"/>
    <col min="30" max="30" width="10.85546875" style="48" customWidth="1"/>
    <col min="31" max="31" width="10.85546875" style="49" customWidth="1"/>
    <col min="32" max="32" width="10.85546875" style="50" customWidth="1"/>
    <col min="33" max="33" width="10.85546875" style="48" customWidth="1"/>
    <col min="34" max="34" width="10.85546875" style="49" customWidth="1"/>
    <col min="35" max="35" width="10.85546875" style="50" customWidth="1"/>
    <col min="36" max="36" width="10.85546875" style="48" customWidth="1"/>
    <col min="37" max="37" width="10.85546875" style="49" customWidth="1"/>
    <col min="38" max="38" width="10.85546875" style="50" customWidth="1"/>
    <col min="39" max="39" width="10.85546875" style="48" customWidth="1"/>
    <col min="40" max="40" width="10.85546875" style="49" customWidth="1"/>
    <col min="41" max="41" width="10.85546875" style="50" customWidth="1"/>
    <col min="42" max="42" width="10.85546875" style="48" customWidth="1"/>
    <col min="43" max="43" width="10.85546875" style="49" customWidth="1"/>
    <col min="44" max="44" width="10.85546875" style="50" customWidth="1"/>
    <col min="45" max="45" width="10.85546875" style="48" customWidth="1"/>
    <col min="46" max="48" width="10.85546875" style="51" customWidth="1"/>
    <col min="49" max="49" width="9" style="48" customWidth="1"/>
    <col min="50" max="50" width="9" style="48" hidden="1" customWidth="1"/>
    <col min="51" max="16384" width="9" style="48" hidden="1"/>
  </cols>
  <sheetData>
    <row r="1" spans="1:49" ht="18.75" x14ac:dyDescent="0.25">
      <c r="A1" s="146" t="s">
        <v>566</v>
      </c>
      <c r="B1" s="146"/>
      <c r="C1" s="146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68"/>
      <c r="AC1" s="69"/>
      <c r="AD1" s="52"/>
      <c r="AE1" s="68"/>
      <c r="AF1" s="69"/>
      <c r="AG1" s="52"/>
      <c r="AH1" s="68"/>
      <c r="AI1" s="69"/>
      <c r="AJ1" s="52"/>
      <c r="AK1" s="68"/>
      <c r="AL1" s="69"/>
      <c r="AM1" s="52"/>
      <c r="AN1" s="68"/>
      <c r="AO1" s="69"/>
      <c r="AP1" s="52"/>
      <c r="AQ1" s="68"/>
      <c r="AR1" s="69"/>
      <c r="AS1" s="52"/>
    </row>
    <row r="2" spans="1:49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68"/>
      <c r="AC2" s="69"/>
      <c r="AD2" s="53"/>
      <c r="AE2" s="68"/>
      <c r="AF2" s="69"/>
      <c r="AG2" s="53"/>
      <c r="AH2" s="68"/>
      <c r="AI2" s="69"/>
      <c r="AJ2" s="53"/>
      <c r="AK2" s="68"/>
      <c r="AL2" s="69"/>
      <c r="AM2" s="53"/>
      <c r="AN2" s="68"/>
      <c r="AO2" s="69"/>
      <c r="AP2" s="53"/>
      <c r="AQ2" s="68"/>
      <c r="AR2" s="69"/>
      <c r="AS2" s="53"/>
    </row>
    <row r="3" spans="1:49" s="47" customFormat="1" ht="15.75" x14ac:dyDescent="0.25">
      <c r="A3" s="147" t="s">
        <v>3</v>
      </c>
      <c r="B3" s="147" t="s">
        <v>4</v>
      </c>
      <c r="C3" s="147" t="s">
        <v>5</v>
      </c>
      <c r="D3" s="148" t="s">
        <v>567</v>
      </c>
      <c r="E3" s="149"/>
      <c r="F3" s="149"/>
      <c r="G3" s="148" t="s">
        <v>10</v>
      </c>
      <c r="H3" s="121" t="s">
        <v>568</v>
      </c>
      <c r="I3" s="122"/>
      <c r="J3" s="122"/>
      <c r="K3" s="121" t="s">
        <v>10</v>
      </c>
      <c r="L3" s="125" t="s">
        <v>569</v>
      </c>
      <c r="M3" s="126"/>
      <c r="N3" s="126"/>
      <c r="O3" s="125" t="s">
        <v>10</v>
      </c>
      <c r="P3" s="143" t="s">
        <v>570</v>
      </c>
      <c r="Q3" s="150"/>
      <c r="R3" s="150"/>
      <c r="S3" s="143" t="s">
        <v>10</v>
      </c>
      <c r="T3" s="123" t="s">
        <v>571</v>
      </c>
      <c r="U3" s="124"/>
      <c r="V3" s="124"/>
      <c r="W3" s="123" t="s">
        <v>10</v>
      </c>
      <c r="X3" s="127" t="s">
        <v>572</v>
      </c>
      <c r="Y3" s="128"/>
      <c r="Z3" s="129"/>
      <c r="AA3" s="144" t="s">
        <v>10</v>
      </c>
      <c r="AB3" s="140" t="s">
        <v>573</v>
      </c>
      <c r="AC3" s="141"/>
      <c r="AD3" s="142"/>
      <c r="AE3" s="140" t="s">
        <v>574</v>
      </c>
      <c r="AF3" s="141"/>
      <c r="AG3" s="142"/>
      <c r="AH3" s="140" t="s">
        <v>575</v>
      </c>
      <c r="AI3" s="141"/>
      <c r="AJ3" s="142"/>
      <c r="AK3" s="140" t="s">
        <v>576</v>
      </c>
      <c r="AL3" s="141"/>
      <c r="AM3" s="142"/>
      <c r="AN3" s="140" t="s">
        <v>577</v>
      </c>
      <c r="AO3" s="141"/>
      <c r="AP3" s="142"/>
      <c r="AQ3" s="137" t="s">
        <v>578</v>
      </c>
      <c r="AR3" s="138"/>
      <c r="AS3" s="139"/>
      <c r="AT3" s="120" t="s">
        <v>579</v>
      </c>
      <c r="AU3" s="120"/>
      <c r="AV3" s="120"/>
    </row>
    <row r="4" spans="1:49" s="47" customFormat="1" ht="15.75" x14ac:dyDescent="0.25">
      <c r="A4" s="147"/>
      <c r="B4" s="147"/>
      <c r="C4" s="147"/>
      <c r="D4" s="149"/>
      <c r="E4" s="149"/>
      <c r="F4" s="149"/>
      <c r="G4" s="148"/>
      <c r="H4" s="122"/>
      <c r="I4" s="122"/>
      <c r="J4" s="122"/>
      <c r="K4" s="121"/>
      <c r="L4" s="126"/>
      <c r="M4" s="126"/>
      <c r="N4" s="126"/>
      <c r="O4" s="125"/>
      <c r="P4" s="150"/>
      <c r="Q4" s="150"/>
      <c r="R4" s="150"/>
      <c r="S4" s="143"/>
      <c r="T4" s="124"/>
      <c r="U4" s="124"/>
      <c r="V4" s="124"/>
      <c r="W4" s="123"/>
      <c r="X4" s="130"/>
      <c r="Y4" s="131"/>
      <c r="Z4" s="132"/>
      <c r="AA4" s="145"/>
      <c r="AB4" s="133" t="s">
        <v>580</v>
      </c>
      <c r="AC4" s="135" t="s">
        <v>13</v>
      </c>
      <c r="AD4" s="133" t="s">
        <v>14</v>
      </c>
      <c r="AE4" s="133" t="s">
        <v>580</v>
      </c>
      <c r="AF4" s="135" t="s">
        <v>13</v>
      </c>
      <c r="AG4" s="133" t="s">
        <v>14</v>
      </c>
      <c r="AH4" s="133" t="s">
        <v>580</v>
      </c>
      <c r="AI4" s="135" t="s">
        <v>13</v>
      </c>
      <c r="AJ4" s="133" t="s">
        <v>14</v>
      </c>
      <c r="AK4" s="133" t="s">
        <v>580</v>
      </c>
      <c r="AL4" s="135" t="s">
        <v>13</v>
      </c>
      <c r="AM4" s="133" t="s">
        <v>14</v>
      </c>
      <c r="AN4" s="133" t="s">
        <v>580</v>
      </c>
      <c r="AO4" s="135" t="s">
        <v>13</v>
      </c>
      <c r="AP4" s="133" t="s">
        <v>14</v>
      </c>
      <c r="AQ4" s="133" t="s">
        <v>580</v>
      </c>
      <c r="AR4" s="135" t="s">
        <v>13</v>
      </c>
      <c r="AS4" s="133" t="s">
        <v>14</v>
      </c>
      <c r="AT4" s="120"/>
      <c r="AU4" s="120"/>
      <c r="AV4" s="120"/>
    </row>
    <row r="5" spans="1:49" s="47" customFormat="1" ht="21" customHeight="1" x14ac:dyDescent="0.25">
      <c r="A5" s="147"/>
      <c r="B5" s="147"/>
      <c r="C5" s="147"/>
      <c r="D5" s="54">
        <f>IK!$E$1-85</f>
        <v>45054</v>
      </c>
      <c r="E5" s="54">
        <f>IK!$E$1-55</f>
        <v>45084</v>
      </c>
      <c r="F5" s="54">
        <f>IK!$E$1-25</f>
        <v>45114</v>
      </c>
      <c r="G5" s="54">
        <f>IK!$E$1</f>
        <v>45139</v>
      </c>
      <c r="H5" s="55">
        <f t="shared" ref="H5:AA5" si="0">D5</f>
        <v>45054</v>
      </c>
      <c r="I5" s="55">
        <f t="shared" si="0"/>
        <v>45084</v>
      </c>
      <c r="J5" s="55">
        <f t="shared" si="0"/>
        <v>45114</v>
      </c>
      <c r="K5" s="59">
        <f t="shared" si="0"/>
        <v>45139</v>
      </c>
      <c r="L5" s="60">
        <f t="shared" si="0"/>
        <v>45054</v>
      </c>
      <c r="M5" s="60">
        <f t="shared" si="0"/>
        <v>45084</v>
      </c>
      <c r="N5" s="60">
        <f t="shared" si="0"/>
        <v>45114</v>
      </c>
      <c r="O5" s="61">
        <f t="shared" si="0"/>
        <v>45139</v>
      </c>
      <c r="P5" s="62">
        <f t="shared" si="0"/>
        <v>45054</v>
      </c>
      <c r="Q5" s="62">
        <f t="shared" si="0"/>
        <v>45084</v>
      </c>
      <c r="R5" s="62">
        <f t="shared" si="0"/>
        <v>45114</v>
      </c>
      <c r="S5" s="63">
        <f t="shared" si="0"/>
        <v>45139</v>
      </c>
      <c r="T5" s="64">
        <f t="shared" si="0"/>
        <v>45054</v>
      </c>
      <c r="U5" s="64">
        <f t="shared" si="0"/>
        <v>45084</v>
      </c>
      <c r="V5" s="64">
        <f t="shared" si="0"/>
        <v>45114</v>
      </c>
      <c r="W5" s="65">
        <f t="shared" si="0"/>
        <v>45139</v>
      </c>
      <c r="X5" s="66">
        <f t="shared" si="0"/>
        <v>45054</v>
      </c>
      <c r="Y5" s="66">
        <f t="shared" si="0"/>
        <v>45084</v>
      </c>
      <c r="Z5" s="66">
        <f t="shared" si="0"/>
        <v>45114</v>
      </c>
      <c r="AA5" s="70">
        <f t="shared" si="0"/>
        <v>45139</v>
      </c>
      <c r="AB5" s="134"/>
      <c r="AC5" s="136"/>
      <c r="AD5" s="134"/>
      <c r="AE5" s="134"/>
      <c r="AF5" s="136"/>
      <c r="AG5" s="134"/>
      <c r="AH5" s="134"/>
      <c r="AI5" s="136"/>
      <c r="AJ5" s="134"/>
      <c r="AK5" s="134"/>
      <c r="AL5" s="136"/>
      <c r="AM5" s="134"/>
      <c r="AN5" s="134"/>
      <c r="AO5" s="136"/>
      <c r="AP5" s="134"/>
      <c r="AQ5" s="134"/>
      <c r="AR5" s="136"/>
      <c r="AS5" s="134"/>
      <c r="AT5" s="75" t="s">
        <v>581</v>
      </c>
      <c r="AU5" s="75" t="s">
        <v>582</v>
      </c>
      <c r="AV5" s="75" t="s">
        <v>583</v>
      </c>
      <c r="AW5" s="77"/>
    </row>
    <row r="6" spans="1:49" ht="15.75" x14ac:dyDescent="0.25">
      <c r="A6" s="56">
        <f>IK!A6</f>
        <v>1</v>
      </c>
      <c r="B6" s="56" t="str">
        <f>IK!B6</f>
        <v>Sulawesi Tengah</v>
      </c>
      <c r="C6" s="56" t="str">
        <f>IK!C6</f>
        <v>BANGGAI</v>
      </c>
      <c r="D6" s="57">
        <v>12000</v>
      </c>
      <c r="E6" s="57">
        <v>12000</v>
      </c>
      <c r="F6" s="108">
        <v>11779</v>
      </c>
      <c r="G6" s="58">
        <v>11200</v>
      </c>
      <c r="H6" s="57">
        <v>5385</v>
      </c>
      <c r="I6" s="57">
        <v>6000</v>
      </c>
      <c r="J6" s="108">
        <v>6000</v>
      </c>
      <c r="K6" s="58">
        <v>6000</v>
      </c>
      <c r="L6" s="57">
        <v>16000</v>
      </c>
      <c r="M6" s="57">
        <v>16000</v>
      </c>
      <c r="N6" s="108">
        <v>16000</v>
      </c>
      <c r="O6" s="58">
        <v>16200</v>
      </c>
      <c r="P6" s="57">
        <v>20000</v>
      </c>
      <c r="Q6" s="57">
        <v>20000</v>
      </c>
      <c r="R6" s="108">
        <v>20000</v>
      </c>
      <c r="S6" s="58">
        <v>20000</v>
      </c>
      <c r="T6" s="67">
        <v>30577</v>
      </c>
      <c r="U6" s="67">
        <v>33478</v>
      </c>
      <c r="V6" s="108">
        <v>32586</v>
      </c>
      <c r="W6" s="58">
        <v>30200</v>
      </c>
      <c r="X6" s="67">
        <v>30769</v>
      </c>
      <c r="Y6" s="67">
        <v>30761</v>
      </c>
      <c r="Z6" s="108">
        <v>29828</v>
      </c>
      <c r="AA6" s="58">
        <v>30000</v>
      </c>
      <c r="AB6" s="71">
        <f t="shared" ref="AB6:AB19" si="1">IF(ISERROR(AVERAGE(D6:F6)),0,AVERAGE(D6:F6))</f>
        <v>11926.333333333334</v>
      </c>
      <c r="AC6" s="72">
        <f t="shared" ref="AC6:AC19" si="2">IF(ISERROR(((G6-AB6)/AB6)*100),0,((G6-AB6)/AB6)*100)</f>
        <v>-6.0901646217054743</v>
      </c>
      <c r="AD6" s="73">
        <f t="shared" ref="AD6:AD19" si="3">IF(AC6="","",IF(AC6&gt;10,1,IF(AC6&lt;5,3,2)))</f>
        <v>3</v>
      </c>
      <c r="AE6" s="71">
        <f t="shared" ref="AE6:AE19" si="4">IF(ISERROR(AVERAGE(H6:J6)),0,AVERAGE(H6:J6))</f>
        <v>5795</v>
      </c>
      <c r="AF6" s="72">
        <f t="shared" ref="AF6:AF19" si="5">IF(ISERROR(((K6-AE6)/AE6)*100),0,((K6-AE6)/AE6)*100)</f>
        <v>3.5375323554788611</v>
      </c>
      <c r="AG6" s="73">
        <f t="shared" ref="AG6:AG19" si="6">IF(AF6="","",IF(AF6&gt;15,1,IF(AF6&lt;5,3,2)))</f>
        <v>3</v>
      </c>
      <c r="AH6" s="71">
        <f t="shared" ref="AH6:AH19" si="7">IF(ISERROR(AVERAGE(L6:N6)),0,AVERAGE(L6:N6))</f>
        <v>16000</v>
      </c>
      <c r="AI6" s="72">
        <f t="shared" ref="AI6:AI19" si="8">IF(ISERROR(((O6-AH6)/AH6)*100),0,((O6-AH6)/AH6)*100)</f>
        <v>1.25</v>
      </c>
      <c r="AJ6" s="73">
        <f t="shared" ref="AJ6:AJ19" si="9">IF(AI6="","",IF(AI6&gt;15,1,IF(AI6&lt;5,3,2)))</f>
        <v>3</v>
      </c>
      <c r="AK6" s="71">
        <f t="shared" ref="AK6:AK19" si="10">IF(ISERROR(AVERAGE(P6:R6)),0,AVERAGE(P6:R6))</f>
        <v>20000</v>
      </c>
      <c r="AL6" s="72">
        <f t="shared" ref="AL6:AL19" si="11">IF(ISERROR(((S6-AK6)/AK6)*100),0,((S6-AK6)/AK6)*100)</f>
        <v>0</v>
      </c>
      <c r="AM6" s="73">
        <f t="shared" ref="AM6:AM19" si="12">IF(AL6="","",IF(AL6&gt;15,1,IF(AL6&lt;5,3,2)))</f>
        <v>3</v>
      </c>
      <c r="AN6" s="71">
        <f t="shared" ref="AN6:AN19" si="13">IF(ISERROR(AVERAGE(T6:V6)),0,AVERAGE(T6:V6))</f>
        <v>32213.666666666668</v>
      </c>
      <c r="AO6" s="72">
        <f t="shared" ref="AO6:AO19" si="14">IF(ISERROR(((W6-AN6)/AN6)*100),0,((W6-AN6)/AN6)*100)</f>
        <v>-6.2509700851605468</v>
      </c>
      <c r="AP6" s="73">
        <f t="shared" ref="AP6:AP19" si="15">IF(AO6="","",IF(AO6&gt;15,1,IF(AO6&lt;5,3,2)))</f>
        <v>3</v>
      </c>
      <c r="AQ6" s="71">
        <f t="shared" ref="AQ6:AQ19" si="16">IF(ISERROR(AVERAGE(X6:Z6)),0,AVERAGE(X6:Z6))</f>
        <v>30452.666666666668</v>
      </c>
      <c r="AR6" s="72">
        <f t="shared" ref="AR6:AR19" si="17">IF(ISERROR(((AA6-AQ6)/AQ6)*100),0,((AA6-AQ6)/AQ6)*100)</f>
        <v>-1.4864598612053719</v>
      </c>
      <c r="AS6" s="73">
        <f t="shared" ref="AS6:AS19" si="18">IF(AR6="","",IF(AR6&gt;15,1,IF(AR6&lt;5,3,2)))</f>
        <v>3</v>
      </c>
      <c r="AT6" s="76">
        <f t="shared" ref="AT6:AT19" si="19">IF(ISERROR(AD6+AG6+AJ6+AM6+AP6+AS6),"",AD6+AG6+AJ6+AM6+AP6+AS6)</f>
        <v>18</v>
      </c>
      <c r="AU6" s="76" t="str">
        <f>IF(AT6="","",IF(AT6&lt;=9,"RENTAN",IF(AT6&gt;13,"AMAN","WASPADA")))</f>
        <v>AMAN</v>
      </c>
      <c r="AV6" s="76" t="str">
        <f>IF(AU6="","",IF(AU6="AMAN","3",IF(AU6="RENTAN","1","2")))</f>
        <v>3</v>
      </c>
    </row>
    <row r="7" spans="1:49" ht="15.75" x14ac:dyDescent="0.25">
      <c r="A7" s="56">
        <f>IK!A7</f>
        <v>2</v>
      </c>
      <c r="B7" s="56" t="str">
        <f>IK!B7</f>
        <v>Sulawesi Tengah</v>
      </c>
      <c r="C7" s="56" t="str">
        <f>IK!C7</f>
        <v>POSO</v>
      </c>
      <c r="D7" s="57">
        <v>12000</v>
      </c>
      <c r="E7" s="57">
        <v>12000</v>
      </c>
      <c r="F7" s="108">
        <v>12000</v>
      </c>
      <c r="G7" s="58">
        <v>12000</v>
      </c>
      <c r="H7" s="57">
        <v>6161</v>
      </c>
      <c r="I7" s="57">
        <v>8000</v>
      </c>
      <c r="J7" s="108">
        <v>6968</v>
      </c>
      <c r="K7" s="58">
        <v>6000</v>
      </c>
      <c r="L7" s="57">
        <v>14986</v>
      </c>
      <c r="M7" s="57">
        <v>15000</v>
      </c>
      <c r="N7" s="108">
        <v>14968</v>
      </c>
      <c r="O7" s="58">
        <v>15000</v>
      </c>
      <c r="P7" s="57">
        <v>16677</v>
      </c>
      <c r="Q7" s="57">
        <v>16300</v>
      </c>
      <c r="R7" s="108">
        <v>15968</v>
      </c>
      <c r="S7" s="58">
        <v>15871</v>
      </c>
      <c r="T7" s="67">
        <v>28742</v>
      </c>
      <c r="U7" s="67">
        <v>34200</v>
      </c>
      <c r="V7" s="108">
        <v>30194</v>
      </c>
      <c r="W7" s="58">
        <v>26774</v>
      </c>
      <c r="X7" s="67">
        <v>28306</v>
      </c>
      <c r="Y7" s="67">
        <v>30400</v>
      </c>
      <c r="Z7" s="108">
        <v>29677</v>
      </c>
      <c r="AA7" s="58">
        <v>29935</v>
      </c>
      <c r="AB7" s="71">
        <f t="shared" si="1"/>
        <v>12000</v>
      </c>
      <c r="AC7" s="72">
        <f t="shared" si="2"/>
        <v>0</v>
      </c>
      <c r="AD7" s="73">
        <f t="shared" si="3"/>
        <v>3</v>
      </c>
      <c r="AE7" s="71">
        <f t="shared" si="4"/>
        <v>7043</v>
      </c>
      <c r="AF7" s="72">
        <f t="shared" si="5"/>
        <v>-14.809030242794263</v>
      </c>
      <c r="AG7" s="73">
        <f t="shared" si="6"/>
        <v>3</v>
      </c>
      <c r="AH7" s="71">
        <f t="shared" si="7"/>
        <v>14984.666666666666</v>
      </c>
      <c r="AI7" s="72">
        <f t="shared" si="8"/>
        <v>0.1023268229746003</v>
      </c>
      <c r="AJ7" s="73">
        <f t="shared" si="9"/>
        <v>3</v>
      </c>
      <c r="AK7" s="71">
        <f t="shared" si="10"/>
        <v>16315</v>
      </c>
      <c r="AL7" s="72">
        <f t="shared" si="11"/>
        <v>-2.7214220042905302</v>
      </c>
      <c r="AM7" s="73">
        <f t="shared" si="12"/>
        <v>3</v>
      </c>
      <c r="AN7" s="71">
        <f t="shared" si="13"/>
        <v>31045.333333333332</v>
      </c>
      <c r="AO7" s="72">
        <f t="shared" si="14"/>
        <v>-13.75837484968218</v>
      </c>
      <c r="AP7" s="73">
        <f t="shared" si="15"/>
        <v>3</v>
      </c>
      <c r="AQ7" s="71">
        <f t="shared" si="16"/>
        <v>29461</v>
      </c>
      <c r="AR7" s="72">
        <f t="shared" si="17"/>
        <v>1.6089066902006042</v>
      </c>
      <c r="AS7" s="73">
        <f t="shared" si="18"/>
        <v>3</v>
      </c>
      <c r="AT7" s="76">
        <f t="shared" si="19"/>
        <v>18</v>
      </c>
      <c r="AU7" s="76" t="str">
        <f t="shared" ref="AU7:AU19" si="20">IF(AT7="","",IF(AT7&lt;=9,"RENTAN",IF(AT7&gt;13,"AMAN","WASPADA")))</f>
        <v>AMAN</v>
      </c>
      <c r="AV7" s="76" t="str">
        <f t="shared" ref="AV7:AV19" si="21">IF(AU7="","",IF(AU7="AMAN","3",IF(AU7="RENTAN","1","2")))</f>
        <v>3</v>
      </c>
    </row>
    <row r="8" spans="1:49" ht="15.75" x14ac:dyDescent="0.25">
      <c r="A8" s="56">
        <f>IK!A8</f>
        <v>3</v>
      </c>
      <c r="B8" s="56" t="str">
        <f>IK!B8</f>
        <v>Sulawesi Tengah</v>
      </c>
      <c r="C8" s="56" t="str">
        <f>IK!C8</f>
        <v>DONGGALA</v>
      </c>
      <c r="D8" s="57">
        <v>11000</v>
      </c>
      <c r="E8" s="57">
        <v>11000</v>
      </c>
      <c r="F8" s="108">
        <v>11000</v>
      </c>
      <c r="G8" s="58">
        <v>11000</v>
      </c>
      <c r="H8" s="57">
        <v>6871</v>
      </c>
      <c r="I8" s="57">
        <v>7000</v>
      </c>
      <c r="J8" s="108">
        <v>7016</v>
      </c>
      <c r="K8" s="58">
        <v>6210</v>
      </c>
      <c r="L8" s="57">
        <v>15000</v>
      </c>
      <c r="M8" s="57">
        <v>15000</v>
      </c>
      <c r="N8" s="108">
        <v>15000</v>
      </c>
      <c r="O8" s="58">
        <v>14968</v>
      </c>
      <c r="P8" s="57">
        <v>15387</v>
      </c>
      <c r="Q8" s="57">
        <v>16069</v>
      </c>
      <c r="R8" s="108">
        <v>17177</v>
      </c>
      <c r="S8" s="58">
        <v>16871</v>
      </c>
      <c r="T8" s="67">
        <v>26065</v>
      </c>
      <c r="U8" s="67">
        <v>31017</v>
      </c>
      <c r="V8" s="108">
        <v>30726</v>
      </c>
      <c r="W8" s="58">
        <v>31871</v>
      </c>
      <c r="X8" s="67">
        <v>25629</v>
      </c>
      <c r="Y8" s="67">
        <v>28000</v>
      </c>
      <c r="Z8" s="108">
        <v>28661</v>
      </c>
      <c r="AA8" s="58">
        <v>27371</v>
      </c>
      <c r="AB8" s="71">
        <f t="shared" si="1"/>
        <v>11000</v>
      </c>
      <c r="AC8" s="72">
        <f t="shared" si="2"/>
        <v>0</v>
      </c>
      <c r="AD8" s="73">
        <f t="shared" si="3"/>
        <v>3</v>
      </c>
      <c r="AE8" s="71">
        <f t="shared" si="4"/>
        <v>6962.333333333333</v>
      </c>
      <c r="AF8" s="72">
        <f t="shared" si="5"/>
        <v>-10.805764351031739</v>
      </c>
      <c r="AG8" s="73">
        <f t="shared" si="6"/>
        <v>3</v>
      </c>
      <c r="AH8" s="71">
        <f t="shared" si="7"/>
        <v>15000</v>
      </c>
      <c r="AI8" s="72">
        <f t="shared" si="8"/>
        <v>-0.21333333333333335</v>
      </c>
      <c r="AJ8" s="73">
        <f t="shared" si="9"/>
        <v>3</v>
      </c>
      <c r="AK8" s="71">
        <f t="shared" si="10"/>
        <v>16211</v>
      </c>
      <c r="AL8" s="72">
        <f t="shared" si="11"/>
        <v>4.0713096045894765</v>
      </c>
      <c r="AM8" s="73">
        <f t="shared" si="12"/>
        <v>3</v>
      </c>
      <c r="AN8" s="71">
        <f t="shared" si="13"/>
        <v>29269.333333333332</v>
      </c>
      <c r="AO8" s="72">
        <f t="shared" si="14"/>
        <v>8.8887117346938833</v>
      </c>
      <c r="AP8" s="73">
        <f t="shared" si="15"/>
        <v>2</v>
      </c>
      <c r="AQ8" s="71">
        <f t="shared" si="16"/>
        <v>27430</v>
      </c>
      <c r="AR8" s="72">
        <f t="shared" si="17"/>
        <v>-0.21509296390812976</v>
      </c>
      <c r="AS8" s="73">
        <f t="shared" si="18"/>
        <v>3</v>
      </c>
      <c r="AT8" s="76">
        <f t="shared" si="19"/>
        <v>17</v>
      </c>
      <c r="AU8" s="76" t="str">
        <f t="shared" si="20"/>
        <v>AMAN</v>
      </c>
      <c r="AV8" s="76" t="str">
        <f t="shared" si="21"/>
        <v>3</v>
      </c>
    </row>
    <row r="9" spans="1:49" ht="15.75" x14ac:dyDescent="0.25">
      <c r="A9" s="56">
        <f>IK!A9</f>
        <v>4</v>
      </c>
      <c r="B9" s="56" t="str">
        <f>IK!B9</f>
        <v>Sulawesi Tengah</v>
      </c>
      <c r="C9" s="56" t="str">
        <f>IK!C9</f>
        <v>TOLITOLI</v>
      </c>
      <c r="D9" s="57">
        <v>12000</v>
      </c>
      <c r="E9" s="57">
        <v>12000</v>
      </c>
      <c r="F9" s="108">
        <v>12032</v>
      </c>
      <c r="G9" s="58">
        <v>12000</v>
      </c>
      <c r="H9" s="57">
        <v>7000</v>
      </c>
      <c r="I9" s="57">
        <v>7000</v>
      </c>
      <c r="J9" s="108">
        <v>7000</v>
      </c>
      <c r="K9" s="58">
        <v>7000</v>
      </c>
      <c r="L9" s="57">
        <v>15000</v>
      </c>
      <c r="M9" s="57">
        <v>15000</v>
      </c>
      <c r="N9" s="108">
        <v>15000</v>
      </c>
      <c r="O9" s="58">
        <v>15000</v>
      </c>
      <c r="P9" s="57">
        <v>19000</v>
      </c>
      <c r="Q9" s="57">
        <v>19000</v>
      </c>
      <c r="R9" s="108">
        <v>19000</v>
      </c>
      <c r="S9" s="58">
        <v>19000</v>
      </c>
      <c r="T9" s="67">
        <v>35000</v>
      </c>
      <c r="U9" s="67">
        <v>35167</v>
      </c>
      <c r="V9" s="108">
        <v>35000</v>
      </c>
      <c r="W9" s="58">
        <v>35000</v>
      </c>
      <c r="X9" s="67">
        <v>36700</v>
      </c>
      <c r="Y9" s="67">
        <v>37967</v>
      </c>
      <c r="Z9" s="108">
        <v>38000</v>
      </c>
      <c r="AA9" s="58">
        <v>38065</v>
      </c>
      <c r="AB9" s="71">
        <f t="shared" si="1"/>
        <v>12010.666666666666</v>
      </c>
      <c r="AC9" s="72">
        <f t="shared" si="2"/>
        <v>-8.8809946714026922E-2</v>
      </c>
      <c r="AD9" s="73">
        <f t="shared" si="3"/>
        <v>3</v>
      </c>
      <c r="AE9" s="71">
        <f t="shared" si="4"/>
        <v>7000</v>
      </c>
      <c r="AF9" s="72">
        <f t="shared" si="5"/>
        <v>0</v>
      </c>
      <c r="AG9" s="73">
        <f t="shared" si="6"/>
        <v>3</v>
      </c>
      <c r="AH9" s="71">
        <f t="shared" si="7"/>
        <v>15000</v>
      </c>
      <c r="AI9" s="72">
        <f t="shared" si="8"/>
        <v>0</v>
      </c>
      <c r="AJ9" s="73">
        <f t="shared" si="9"/>
        <v>3</v>
      </c>
      <c r="AK9" s="71">
        <f t="shared" si="10"/>
        <v>19000</v>
      </c>
      <c r="AL9" s="72">
        <f t="shared" si="11"/>
        <v>0</v>
      </c>
      <c r="AM9" s="73">
        <f t="shared" si="12"/>
        <v>3</v>
      </c>
      <c r="AN9" s="71">
        <f t="shared" si="13"/>
        <v>35055.666666666664</v>
      </c>
      <c r="AO9" s="72">
        <f t="shared" si="14"/>
        <v>-0.15879505928665147</v>
      </c>
      <c r="AP9" s="73">
        <f t="shared" si="15"/>
        <v>3</v>
      </c>
      <c r="AQ9" s="71">
        <f t="shared" si="16"/>
        <v>37555.666666666664</v>
      </c>
      <c r="AR9" s="72">
        <f t="shared" si="17"/>
        <v>1.3562090052988074</v>
      </c>
      <c r="AS9" s="73">
        <f t="shared" si="18"/>
        <v>3</v>
      </c>
      <c r="AT9" s="76">
        <f t="shared" si="19"/>
        <v>18</v>
      </c>
      <c r="AU9" s="76" t="str">
        <f t="shared" si="20"/>
        <v>AMAN</v>
      </c>
      <c r="AV9" s="76" t="str">
        <f t="shared" si="21"/>
        <v>3</v>
      </c>
    </row>
    <row r="10" spans="1:49" ht="15.75" x14ac:dyDescent="0.25">
      <c r="A10" s="56">
        <f>IK!A10</f>
        <v>5</v>
      </c>
      <c r="B10" s="56" t="str">
        <f>IK!B10</f>
        <v>Sulawesi Tengah</v>
      </c>
      <c r="C10" s="56" t="str">
        <f>IK!C10</f>
        <v>BUOL</v>
      </c>
      <c r="D10" s="57">
        <v>13000</v>
      </c>
      <c r="E10" s="57">
        <v>12983</v>
      </c>
      <c r="F10" s="108">
        <v>12435</v>
      </c>
      <c r="G10" s="58">
        <v>12497</v>
      </c>
      <c r="H10" s="57">
        <v>6000</v>
      </c>
      <c r="I10" s="57">
        <v>5552</v>
      </c>
      <c r="J10" s="108">
        <v>5032</v>
      </c>
      <c r="K10" s="58">
        <v>6000</v>
      </c>
      <c r="L10" s="57">
        <v>15000</v>
      </c>
      <c r="M10" s="57">
        <v>15000</v>
      </c>
      <c r="N10" s="108">
        <v>15000</v>
      </c>
      <c r="O10" s="58">
        <v>15000</v>
      </c>
      <c r="P10" s="57">
        <v>19400</v>
      </c>
      <c r="Q10" s="57">
        <v>18655</v>
      </c>
      <c r="R10" s="108">
        <v>18000</v>
      </c>
      <c r="S10" s="58">
        <v>18000</v>
      </c>
      <c r="T10" s="67">
        <v>29800</v>
      </c>
      <c r="U10" s="67">
        <v>30034</v>
      </c>
      <c r="V10" s="108">
        <v>27645</v>
      </c>
      <c r="W10" s="58">
        <v>29935</v>
      </c>
      <c r="X10" s="67">
        <v>30167</v>
      </c>
      <c r="Y10" s="67">
        <v>30345</v>
      </c>
      <c r="Z10" s="108">
        <v>29500</v>
      </c>
      <c r="AA10" s="58">
        <v>29920</v>
      </c>
      <c r="AB10" s="71">
        <f t="shared" si="1"/>
        <v>12806</v>
      </c>
      <c r="AC10" s="72">
        <f t="shared" si="2"/>
        <v>-2.4129314383882559</v>
      </c>
      <c r="AD10" s="73">
        <f t="shared" si="3"/>
        <v>3</v>
      </c>
      <c r="AE10" s="71">
        <f t="shared" si="4"/>
        <v>5528</v>
      </c>
      <c r="AF10" s="72">
        <f t="shared" si="5"/>
        <v>8.5383502170766992</v>
      </c>
      <c r="AG10" s="73">
        <f t="shared" si="6"/>
        <v>2</v>
      </c>
      <c r="AH10" s="71">
        <f t="shared" si="7"/>
        <v>15000</v>
      </c>
      <c r="AI10" s="72">
        <f t="shared" si="8"/>
        <v>0</v>
      </c>
      <c r="AJ10" s="73">
        <f t="shared" si="9"/>
        <v>3</v>
      </c>
      <c r="AK10" s="71">
        <f t="shared" si="10"/>
        <v>18685</v>
      </c>
      <c r="AL10" s="72">
        <f t="shared" si="11"/>
        <v>-3.666042279903666</v>
      </c>
      <c r="AM10" s="73">
        <f t="shared" si="12"/>
        <v>3</v>
      </c>
      <c r="AN10" s="71">
        <f t="shared" si="13"/>
        <v>29159.666666666668</v>
      </c>
      <c r="AO10" s="72">
        <f t="shared" si="14"/>
        <v>2.6589238560111528</v>
      </c>
      <c r="AP10" s="73">
        <f t="shared" si="15"/>
        <v>3</v>
      </c>
      <c r="AQ10" s="71">
        <f t="shared" si="16"/>
        <v>30004</v>
      </c>
      <c r="AR10" s="72">
        <f t="shared" si="17"/>
        <v>-0.27996267164378086</v>
      </c>
      <c r="AS10" s="73">
        <f t="shared" si="18"/>
        <v>3</v>
      </c>
      <c r="AT10" s="76">
        <f t="shared" si="19"/>
        <v>17</v>
      </c>
      <c r="AU10" s="76" t="str">
        <f t="shared" si="20"/>
        <v>AMAN</v>
      </c>
      <c r="AV10" s="76" t="str">
        <f t="shared" si="21"/>
        <v>3</v>
      </c>
    </row>
    <row r="11" spans="1:49" ht="15.75" x14ac:dyDescent="0.25">
      <c r="A11" s="56">
        <f>IK!A11</f>
        <v>6</v>
      </c>
      <c r="B11" s="56" t="str">
        <f>IK!B11</f>
        <v>Sulawesi Tengah</v>
      </c>
      <c r="C11" s="56" t="str">
        <f>IK!C11</f>
        <v>MOROWALI</v>
      </c>
      <c r="D11" s="57">
        <v>13000</v>
      </c>
      <c r="E11" s="57">
        <v>12979</v>
      </c>
      <c r="F11" s="108">
        <v>12677</v>
      </c>
      <c r="G11" s="58">
        <v>12597</v>
      </c>
      <c r="H11" s="57">
        <v>8000</v>
      </c>
      <c r="I11" s="57">
        <v>8000</v>
      </c>
      <c r="J11" s="108">
        <v>8000</v>
      </c>
      <c r="K11" s="58">
        <v>8000</v>
      </c>
      <c r="L11" s="57">
        <v>15633</v>
      </c>
      <c r="M11" s="57">
        <v>15500</v>
      </c>
      <c r="N11" s="108">
        <v>15532</v>
      </c>
      <c r="O11" s="58">
        <v>15500</v>
      </c>
      <c r="P11" s="57">
        <v>20100</v>
      </c>
      <c r="Q11" s="57">
        <v>19862</v>
      </c>
      <c r="R11" s="108">
        <v>19548</v>
      </c>
      <c r="S11" s="58">
        <v>19000</v>
      </c>
      <c r="T11" s="67">
        <v>36433</v>
      </c>
      <c r="U11" s="67">
        <v>35714</v>
      </c>
      <c r="V11" s="108">
        <v>37016</v>
      </c>
      <c r="W11" s="58">
        <v>34677</v>
      </c>
      <c r="X11" s="67">
        <v>27933</v>
      </c>
      <c r="Y11" s="67">
        <v>28250</v>
      </c>
      <c r="Z11" s="108">
        <v>27613</v>
      </c>
      <c r="AA11" s="58">
        <v>26968</v>
      </c>
      <c r="AB11" s="71">
        <f t="shared" si="1"/>
        <v>12885.333333333334</v>
      </c>
      <c r="AC11" s="72">
        <f t="shared" si="2"/>
        <v>-2.2376862582781505</v>
      </c>
      <c r="AD11" s="73">
        <f t="shared" si="3"/>
        <v>3</v>
      </c>
      <c r="AE11" s="71">
        <f t="shared" si="4"/>
        <v>8000</v>
      </c>
      <c r="AF11" s="72">
        <f t="shared" si="5"/>
        <v>0</v>
      </c>
      <c r="AG11" s="73">
        <f t="shared" si="6"/>
        <v>3</v>
      </c>
      <c r="AH11" s="71">
        <f t="shared" si="7"/>
        <v>15555</v>
      </c>
      <c r="AI11" s="72">
        <f t="shared" si="8"/>
        <v>-0.35358405657344905</v>
      </c>
      <c r="AJ11" s="73">
        <f t="shared" si="9"/>
        <v>3</v>
      </c>
      <c r="AK11" s="71">
        <f t="shared" si="10"/>
        <v>19836.666666666668</v>
      </c>
      <c r="AL11" s="72">
        <f t="shared" si="11"/>
        <v>-4.2177785246177173</v>
      </c>
      <c r="AM11" s="73">
        <f t="shared" si="12"/>
        <v>3</v>
      </c>
      <c r="AN11" s="71">
        <f t="shared" si="13"/>
        <v>36387.666666666664</v>
      </c>
      <c r="AO11" s="72">
        <f t="shared" si="14"/>
        <v>-4.7012266060844725</v>
      </c>
      <c r="AP11" s="73">
        <f t="shared" si="15"/>
        <v>3</v>
      </c>
      <c r="AQ11" s="71">
        <f t="shared" si="16"/>
        <v>27932</v>
      </c>
      <c r="AR11" s="72">
        <f t="shared" si="17"/>
        <v>-3.4512387226120578</v>
      </c>
      <c r="AS11" s="73">
        <f t="shared" si="18"/>
        <v>3</v>
      </c>
      <c r="AT11" s="76">
        <f t="shared" si="19"/>
        <v>18</v>
      </c>
      <c r="AU11" s="76" t="str">
        <f t="shared" si="20"/>
        <v>AMAN</v>
      </c>
      <c r="AV11" s="76" t="str">
        <f t="shared" si="21"/>
        <v>3</v>
      </c>
    </row>
    <row r="12" spans="1:49" ht="15.75" x14ac:dyDescent="0.25">
      <c r="A12" s="56">
        <f>IK!A12</f>
        <v>7</v>
      </c>
      <c r="B12" s="56" t="str">
        <f>IK!B12</f>
        <v>Sulawesi Tengah</v>
      </c>
      <c r="C12" s="56" t="str">
        <f>IK!C12</f>
        <v>BANGGAI KEPULAUAN</v>
      </c>
      <c r="D12" s="57">
        <v>14000</v>
      </c>
      <c r="E12" s="57">
        <v>14000</v>
      </c>
      <c r="F12" s="108">
        <v>14000</v>
      </c>
      <c r="G12" s="58">
        <v>14000</v>
      </c>
      <c r="H12" s="57">
        <v>0</v>
      </c>
      <c r="I12" s="57">
        <v>0</v>
      </c>
      <c r="J12" s="108">
        <v>0</v>
      </c>
      <c r="K12" s="58">
        <v>0</v>
      </c>
      <c r="L12" s="57">
        <v>15000</v>
      </c>
      <c r="M12" s="57">
        <v>14793</v>
      </c>
      <c r="N12" s="108">
        <v>15929</v>
      </c>
      <c r="O12" s="58">
        <v>16586</v>
      </c>
      <c r="P12" s="57">
        <v>19034</v>
      </c>
      <c r="Q12" s="57">
        <v>18000</v>
      </c>
      <c r="R12" s="108">
        <v>19714</v>
      </c>
      <c r="S12" s="58">
        <v>19857</v>
      </c>
      <c r="T12" s="67">
        <v>35172</v>
      </c>
      <c r="U12" s="67">
        <v>35000</v>
      </c>
      <c r="V12" s="108">
        <v>35000</v>
      </c>
      <c r="W12" s="58">
        <v>37931</v>
      </c>
      <c r="X12" s="67">
        <v>31552</v>
      </c>
      <c r="Y12" s="67">
        <v>30000</v>
      </c>
      <c r="Z12" s="108">
        <v>33036</v>
      </c>
      <c r="AA12" s="58">
        <v>37500</v>
      </c>
      <c r="AB12" s="71">
        <f t="shared" si="1"/>
        <v>14000</v>
      </c>
      <c r="AC12" s="72">
        <f t="shared" si="2"/>
        <v>0</v>
      </c>
      <c r="AD12" s="73">
        <f t="shared" si="3"/>
        <v>3</v>
      </c>
      <c r="AE12" s="71">
        <f t="shared" si="4"/>
        <v>0</v>
      </c>
      <c r="AF12" s="72">
        <f t="shared" si="5"/>
        <v>0</v>
      </c>
      <c r="AG12" s="73">
        <f t="shared" si="6"/>
        <v>3</v>
      </c>
      <c r="AH12" s="71">
        <f t="shared" si="7"/>
        <v>15240.666666666666</v>
      </c>
      <c r="AI12" s="72">
        <f t="shared" si="8"/>
        <v>8.8272603998075372</v>
      </c>
      <c r="AJ12" s="73">
        <f t="shared" si="9"/>
        <v>2</v>
      </c>
      <c r="AK12" s="71">
        <f t="shared" si="10"/>
        <v>18916</v>
      </c>
      <c r="AL12" s="72">
        <f t="shared" si="11"/>
        <v>4.9746246563755552</v>
      </c>
      <c r="AM12" s="73">
        <f t="shared" si="12"/>
        <v>3</v>
      </c>
      <c r="AN12" s="71">
        <f t="shared" si="13"/>
        <v>35057.333333333336</v>
      </c>
      <c r="AO12" s="72">
        <f t="shared" si="14"/>
        <v>8.1970486441258057</v>
      </c>
      <c r="AP12" s="73">
        <f t="shared" si="15"/>
        <v>2</v>
      </c>
      <c r="AQ12" s="71">
        <f t="shared" si="16"/>
        <v>31529.333333333332</v>
      </c>
      <c r="AR12" s="72">
        <f t="shared" si="17"/>
        <v>18.936863027022461</v>
      </c>
      <c r="AS12" s="73">
        <f t="shared" si="18"/>
        <v>1</v>
      </c>
      <c r="AT12" s="76">
        <f t="shared" si="19"/>
        <v>14</v>
      </c>
      <c r="AU12" s="76" t="str">
        <f t="shared" si="20"/>
        <v>AMAN</v>
      </c>
      <c r="AV12" s="76" t="str">
        <f t="shared" si="21"/>
        <v>3</v>
      </c>
    </row>
    <row r="13" spans="1:49" ht="15.75" x14ac:dyDescent="0.25">
      <c r="A13" s="56">
        <f>IK!A13</f>
        <v>8</v>
      </c>
      <c r="B13" s="56" t="str">
        <f>IK!B13</f>
        <v>Sulawesi Tengah</v>
      </c>
      <c r="C13" s="56" t="str">
        <f>IK!C13</f>
        <v>PARIGI MOUTONG</v>
      </c>
      <c r="D13" s="57">
        <v>11000</v>
      </c>
      <c r="E13" s="57">
        <v>10966</v>
      </c>
      <c r="F13" s="108">
        <v>11065</v>
      </c>
      <c r="G13" s="58">
        <v>11000</v>
      </c>
      <c r="H13" s="57">
        <v>8000</v>
      </c>
      <c r="I13" s="57">
        <v>8000</v>
      </c>
      <c r="J13" s="108">
        <v>8000</v>
      </c>
      <c r="K13" s="58">
        <v>8000</v>
      </c>
      <c r="L13" s="57">
        <v>15000</v>
      </c>
      <c r="M13" s="57">
        <v>15000</v>
      </c>
      <c r="N13" s="108">
        <v>15000</v>
      </c>
      <c r="O13" s="58">
        <v>15000</v>
      </c>
      <c r="P13" s="57">
        <v>20000</v>
      </c>
      <c r="Q13" s="57">
        <v>20000</v>
      </c>
      <c r="R13" s="108">
        <v>20000</v>
      </c>
      <c r="S13" s="58">
        <v>20000</v>
      </c>
      <c r="T13" s="67">
        <v>37419</v>
      </c>
      <c r="U13" s="67">
        <v>41724</v>
      </c>
      <c r="V13" s="108">
        <v>40581</v>
      </c>
      <c r="W13" s="58">
        <v>39226</v>
      </c>
      <c r="X13" s="67">
        <v>27952</v>
      </c>
      <c r="Y13" s="67">
        <v>31810</v>
      </c>
      <c r="Z13" s="108">
        <v>28323</v>
      </c>
      <c r="AA13" s="58">
        <v>25774</v>
      </c>
      <c r="AB13" s="71">
        <f t="shared" si="1"/>
        <v>11010.333333333334</v>
      </c>
      <c r="AC13" s="72">
        <f t="shared" si="2"/>
        <v>-9.3851230662110791E-2</v>
      </c>
      <c r="AD13" s="73">
        <f t="shared" si="3"/>
        <v>3</v>
      </c>
      <c r="AE13" s="71">
        <f t="shared" si="4"/>
        <v>8000</v>
      </c>
      <c r="AF13" s="72">
        <f t="shared" si="5"/>
        <v>0</v>
      </c>
      <c r="AG13" s="73">
        <f t="shared" si="6"/>
        <v>3</v>
      </c>
      <c r="AH13" s="71">
        <f t="shared" si="7"/>
        <v>15000</v>
      </c>
      <c r="AI13" s="72">
        <f t="shared" si="8"/>
        <v>0</v>
      </c>
      <c r="AJ13" s="73">
        <f t="shared" si="9"/>
        <v>3</v>
      </c>
      <c r="AK13" s="71">
        <f t="shared" si="10"/>
        <v>20000</v>
      </c>
      <c r="AL13" s="72">
        <f t="shared" si="11"/>
        <v>0</v>
      </c>
      <c r="AM13" s="73">
        <f t="shared" si="12"/>
        <v>3</v>
      </c>
      <c r="AN13" s="71">
        <f t="shared" si="13"/>
        <v>39908</v>
      </c>
      <c r="AO13" s="72">
        <f t="shared" si="14"/>
        <v>-1.7089305402425579</v>
      </c>
      <c r="AP13" s="73">
        <f t="shared" si="15"/>
        <v>3</v>
      </c>
      <c r="AQ13" s="71">
        <f t="shared" si="16"/>
        <v>29361.666666666668</v>
      </c>
      <c r="AR13" s="72">
        <f t="shared" si="17"/>
        <v>-12.218879491400356</v>
      </c>
      <c r="AS13" s="73">
        <f t="shared" si="18"/>
        <v>3</v>
      </c>
      <c r="AT13" s="76">
        <f t="shared" si="19"/>
        <v>18</v>
      </c>
      <c r="AU13" s="76" t="str">
        <f t="shared" si="20"/>
        <v>AMAN</v>
      </c>
      <c r="AV13" s="76" t="str">
        <f t="shared" si="21"/>
        <v>3</v>
      </c>
    </row>
    <row r="14" spans="1:49" ht="15.75" x14ac:dyDescent="0.25">
      <c r="A14" s="56">
        <f>IK!A14</f>
        <v>9</v>
      </c>
      <c r="B14" s="56" t="str">
        <f>IK!B14</f>
        <v>Sulawesi Tengah</v>
      </c>
      <c r="C14" s="56" t="str">
        <f>IK!C14</f>
        <v>TOJO UNAUNA</v>
      </c>
      <c r="D14" s="57">
        <v>11000</v>
      </c>
      <c r="E14" s="57">
        <v>11000</v>
      </c>
      <c r="F14" s="108">
        <v>11000</v>
      </c>
      <c r="G14" s="58">
        <v>11000</v>
      </c>
      <c r="H14" s="57">
        <v>0</v>
      </c>
      <c r="I14" s="57">
        <v>0</v>
      </c>
      <c r="J14" s="108">
        <v>0</v>
      </c>
      <c r="K14" s="58">
        <v>0</v>
      </c>
      <c r="L14" s="57">
        <v>16000</v>
      </c>
      <c r="M14" s="57">
        <v>16000</v>
      </c>
      <c r="N14" s="108">
        <v>16000</v>
      </c>
      <c r="O14" s="58">
        <v>16000</v>
      </c>
      <c r="P14" s="57">
        <v>18933</v>
      </c>
      <c r="Q14" s="57">
        <v>18000</v>
      </c>
      <c r="R14" s="108">
        <v>18000</v>
      </c>
      <c r="S14" s="58">
        <v>18000</v>
      </c>
      <c r="T14" s="67">
        <v>34500</v>
      </c>
      <c r="U14" s="67">
        <v>30536</v>
      </c>
      <c r="V14" s="108">
        <v>31667</v>
      </c>
      <c r="W14" s="58">
        <v>30000</v>
      </c>
      <c r="X14" s="67">
        <v>30000</v>
      </c>
      <c r="Y14" s="67">
        <v>30000</v>
      </c>
      <c r="Z14" s="108">
        <v>30000</v>
      </c>
      <c r="AA14" s="58">
        <v>30000</v>
      </c>
      <c r="AB14" s="71">
        <f t="shared" si="1"/>
        <v>11000</v>
      </c>
      <c r="AC14" s="72">
        <f t="shared" si="2"/>
        <v>0</v>
      </c>
      <c r="AD14" s="73">
        <f t="shared" si="3"/>
        <v>3</v>
      </c>
      <c r="AE14" s="71">
        <f t="shared" si="4"/>
        <v>0</v>
      </c>
      <c r="AF14" s="72">
        <f t="shared" si="5"/>
        <v>0</v>
      </c>
      <c r="AG14" s="73">
        <f t="shared" si="6"/>
        <v>3</v>
      </c>
      <c r="AH14" s="71">
        <f t="shared" si="7"/>
        <v>16000</v>
      </c>
      <c r="AI14" s="72">
        <f t="shared" si="8"/>
        <v>0</v>
      </c>
      <c r="AJ14" s="73">
        <f t="shared" si="9"/>
        <v>3</v>
      </c>
      <c r="AK14" s="71">
        <f t="shared" si="10"/>
        <v>18311</v>
      </c>
      <c r="AL14" s="72">
        <f t="shared" si="11"/>
        <v>-1.6984326361203648</v>
      </c>
      <c r="AM14" s="73">
        <f t="shared" si="12"/>
        <v>3</v>
      </c>
      <c r="AN14" s="71">
        <f t="shared" si="13"/>
        <v>32234.333333333332</v>
      </c>
      <c r="AO14" s="72">
        <f t="shared" si="14"/>
        <v>-6.9315326308387508</v>
      </c>
      <c r="AP14" s="73">
        <f t="shared" si="15"/>
        <v>3</v>
      </c>
      <c r="AQ14" s="71">
        <f t="shared" si="16"/>
        <v>30000</v>
      </c>
      <c r="AR14" s="72">
        <f t="shared" si="17"/>
        <v>0</v>
      </c>
      <c r="AS14" s="73">
        <f t="shared" si="18"/>
        <v>3</v>
      </c>
      <c r="AT14" s="76">
        <f t="shared" si="19"/>
        <v>18</v>
      </c>
      <c r="AU14" s="76" t="str">
        <f t="shared" si="20"/>
        <v>AMAN</v>
      </c>
      <c r="AV14" s="76" t="str">
        <f t="shared" si="21"/>
        <v>3</v>
      </c>
    </row>
    <row r="15" spans="1:49" ht="15.75" x14ac:dyDescent="0.25">
      <c r="A15" s="56">
        <f>IK!A15</f>
        <v>10</v>
      </c>
      <c r="B15" s="56" t="str">
        <f>IK!B15</f>
        <v>Sulawesi Tengah</v>
      </c>
      <c r="C15" s="56" t="str">
        <f>IK!C15</f>
        <v>SIGI</v>
      </c>
      <c r="D15" s="57">
        <v>12000</v>
      </c>
      <c r="E15" s="57">
        <v>12000</v>
      </c>
      <c r="F15" s="108">
        <v>11194</v>
      </c>
      <c r="G15" s="58">
        <v>11000</v>
      </c>
      <c r="H15" s="57">
        <v>7000</v>
      </c>
      <c r="I15" s="57">
        <v>7000</v>
      </c>
      <c r="J15" s="108">
        <v>7032</v>
      </c>
      <c r="K15" s="58">
        <v>6100</v>
      </c>
      <c r="L15" s="57">
        <v>14052</v>
      </c>
      <c r="M15" s="57">
        <v>14000</v>
      </c>
      <c r="N15" s="108">
        <v>14581</v>
      </c>
      <c r="O15" s="58">
        <v>14867</v>
      </c>
      <c r="P15" s="57">
        <v>19000</v>
      </c>
      <c r="Q15" s="57">
        <v>18983</v>
      </c>
      <c r="R15" s="108">
        <v>18848</v>
      </c>
      <c r="S15" s="58">
        <v>19097</v>
      </c>
      <c r="T15" s="67">
        <v>31726</v>
      </c>
      <c r="U15" s="67">
        <v>35297</v>
      </c>
      <c r="V15" s="108">
        <v>32581</v>
      </c>
      <c r="W15" s="58">
        <v>24300</v>
      </c>
      <c r="X15" s="67">
        <v>28103</v>
      </c>
      <c r="Y15" s="67">
        <v>27372</v>
      </c>
      <c r="Z15" s="108">
        <v>26687</v>
      </c>
      <c r="AA15" s="58">
        <v>27490</v>
      </c>
      <c r="AB15" s="71">
        <f t="shared" si="1"/>
        <v>11731.333333333334</v>
      </c>
      <c r="AC15" s="72">
        <f t="shared" si="2"/>
        <v>-6.234017162016257</v>
      </c>
      <c r="AD15" s="73">
        <f t="shared" si="3"/>
        <v>3</v>
      </c>
      <c r="AE15" s="71">
        <f t="shared" si="4"/>
        <v>7010.666666666667</v>
      </c>
      <c r="AF15" s="72">
        <f t="shared" si="5"/>
        <v>-12.989729935336634</v>
      </c>
      <c r="AG15" s="73">
        <f t="shared" si="6"/>
        <v>3</v>
      </c>
      <c r="AH15" s="71">
        <f t="shared" si="7"/>
        <v>14211</v>
      </c>
      <c r="AI15" s="72">
        <f t="shared" si="8"/>
        <v>4.6161424248821339</v>
      </c>
      <c r="AJ15" s="73">
        <f t="shared" si="9"/>
        <v>3</v>
      </c>
      <c r="AK15" s="71">
        <f t="shared" si="10"/>
        <v>18943.666666666668</v>
      </c>
      <c r="AL15" s="72">
        <f t="shared" si="11"/>
        <v>0.80941739543558333</v>
      </c>
      <c r="AM15" s="73">
        <f t="shared" si="12"/>
        <v>3</v>
      </c>
      <c r="AN15" s="71">
        <f t="shared" si="13"/>
        <v>33201.333333333336</v>
      </c>
      <c r="AO15" s="72">
        <f t="shared" si="14"/>
        <v>-26.810168266334689</v>
      </c>
      <c r="AP15" s="73">
        <f t="shared" si="15"/>
        <v>3</v>
      </c>
      <c r="AQ15" s="71">
        <f t="shared" si="16"/>
        <v>27387.333333333332</v>
      </c>
      <c r="AR15" s="72">
        <f t="shared" si="17"/>
        <v>0.37486916092597994</v>
      </c>
      <c r="AS15" s="73">
        <f t="shared" si="18"/>
        <v>3</v>
      </c>
      <c r="AT15" s="76">
        <f t="shared" si="19"/>
        <v>18</v>
      </c>
      <c r="AU15" s="76" t="str">
        <f t="shared" si="20"/>
        <v>AMAN</v>
      </c>
      <c r="AV15" s="76" t="str">
        <f t="shared" si="21"/>
        <v>3</v>
      </c>
    </row>
    <row r="16" spans="1:49" ht="15.75" x14ac:dyDescent="0.25">
      <c r="A16" s="56">
        <f>IK!A16</f>
        <v>11</v>
      </c>
      <c r="B16" s="56" t="str">
        <f>IK!B16</f>
        <v>Sulawesi Tengah</v>
      </c>
      <c r="C16" s="56" t="str">
        <f>IK!C16</f>
        <v>BANGGAI LAUT</v>
      </c>
      <c r="D16" s="57">
        <v>13000</v>
      </c>
      <c r="E16" s="57">
        <v>13000</v>
      </c>
      <c r="F16" s="108">
        <v>13000</v>
      </c>
      <c r="G16" s="58">
        <v>13000</v>
      </c>
      <c r="H16" s="57">
        <v>0</v>
      </c>
      <c r="I16" s="57">
        <v>0</v>
      </c>
      <c r="J16" s="108">
        <v>0</v>
      </c>
      <c r="K16" s="58">
        <v>0</v>
      </c>
      <c r="L16" s="57">
        <v>15000</v>
      </c>
      <c r="M16" s="57">
        <v>15600</v>
      </c>
      <c r="N16" s="108">
        <v>16000</v>
      </c>
      <c r="O16" s="58">
        <v>16000</v>
      </c>
      <c r="P16" s="57">
        <v>18000</v>
      </c>
      <c r="Q16" s="57">
        <v>18000</v>
      </c>
      <c r="R16" s="108">
        <v>18000</v>
      </c>
      <c r="S16" s="58">
        <v>18000</v>
      </c>
      <c r="T16" s="67">
        <v>50000</v>
      </c>
      <c r="U16" s="67">
        <v>50000</v>
      </c>
      <c r="V16" s="108">
        <v>50000</v>
      </c>
      <c r="W16" s="58">
        <v>50000</v>
      </c>
      <c r="X16" s="67">
        <v>32226</v>
      </c>
      <c r="Y16" s="67">
        <v>31400</v>
      </c>
      <c r="Z16" s="108">
        <v>31532</v>
      </c>
      <c r="AA16" s="58">
        <v>32048</v>
      </c>
      <c r="AB16" s="71">
        <f t="shared" si="1"/>
        <v>13000</v>
      </c>
      <c r="AC16" s="72">
        <f t="shared" si="2"/>
        <v>0</v>
      </c>
      <c r="AD16" s="73">
        <f t="shared" si="3"/>
        <v>3</v>
      </c>
      <c r="AE16" s="71">
        <f t="shared" si="4"/>
        <v>0</v>
      </c>
      <c r="AF16" s="72">
        <f t="shared" si="5"/>
        <v>0</v>
      </c>
      <c r="AG16" s="73">
        <f t="shared" si="6"/>
        <v>3</v>
      </c>
      <c r="AH16" s="71">
        <f t="shared" si="7"/>
        <v>15533.333333333334</v>
      </c>
      <c r="AI16" s="72">
        <f t="shared" si="8"/>
        <v>3.0042918454935581</v>
      </c>
      <c r="AJ16" s="73">
        <f t="shared" si="9"/>
        <v>3</v>
      </c>
      <c r="AK16" s="71">
        <f t="shared" si="10"/>
        <v>18000</v>
      </c>
      <c r="AL16" s="72">
        <f t="shared" si="11"/>
        <v>0</v>
      </c>
      <c r="AM16" s="73">
        <f t="shared" si="12"/>
        <v>3</v>
      </c>
      <c r="AN16" s="71">
        <f t="shared" si="13"/>
        <v>50000</v>
      </c>
      <c r="AO16" s="72">
        <f t="shared" si="14"/>
        <v>0</v>
      </c>
      <c r="AP16" s="73">
        <f t="shared" si="15"/>
        <v>3</v>
      </c>
      <c r="AQ16" s="71">
        <f t="shared" si="16"/>
        <v>31719.333333333332</v>
      </c>
      <c r="AR16" s="72">
        <f t="shared" si="17"/>
        <v>1.0361714201643621</v>
      </c>
      <c r="AS16" s="73">
        <f t="shared" si="18"/>
        <v>3</v>
      </c>
      <c r="AT16" s="76">
        <f t="shared" si="19"/>
        <v>18</v>
      </c>
      <c r="AU16" s="76" t="str">
        <f t="shared" si="20"/>
        <v>AMAN</v>
      </c>
      <c r="AV16" s="76" t="str">
        <f t="shared" si="21"/>
        <v>3</v>
      </c>
    </row>
    <row r="17" spans="1:48" ht="15.75" x14ac:dyDescent="0.25">
      <c r="A17" s="56">
        <f>IK!A17</f>
        <v>12</v>
      </c>
      <c r="B17" s="56" t="str">
        <f>IK!B17</f>
        <v>Sulawesi Tengah</v>
      </c>
      <c r="C17" s="56" t="str">
        <f>IK!C17</f>
        <v>MOROWALI UTARA</v>
      </c>
      <c r="D17" s="57">
        <v>13000</v>
      </c>
      <c r="E17" s="57">
        <v>13000</v>
      </c>
      <c r="F17" s="108">
        <v>13000</v>
      </c>
      <c r="G17" s="58">
        <v>13000</v>
      </c>
      <c r="H17" s="57">
        <v>7000</v>
      </c>
      <c r="I17" s="57">
        <v>7000</v>
      </c>
      <c r="J17" s="108">
        <v>7000</v>
      </c>
      <c r="K17" s="58">
        <v>7000</v>
      </c>
      <c r="L17" s="57">
        <v>15000</v>
      </c>
      <c r="M17" s="57">
        <v>15000</v>
      </c>
      <c r="N17" s="108">
        <v>15000</v>
      </c>
      <c r="O17" s="58">
        <v>15000</v>
      </c>
      <c r="P17" s="57">
        <v>20533</v>
      </c>
      <c r="Q17" s="57">
        <v>23304</v>
      </c>
      <c r="R17" s="108">
        <v>22480</v>
      </c>
      <c r="S17" s="58">
        <v>22692</v>
      </c>
      <c r="T17" s="67">
        <v>44833</v>
      </c>
      <c r="U17" s="67">
        <v>45435</v>
      </c>
      <c r="V17" s="108">
        <v>45000</v>
      </c>
      <c r="W17" s="58">
        <v>44808</v>
      </c>
      <c r="X17" s="67">
        <v>28167</v>
      </c>
      <c r="Y17" s="67">
        <v>29739</v>
      </c>
      <c r="Z17" s="108">
        <v>28520</v>
      </c>
      <c r="AA17" s="58">
        <v>26538</v>
      </c>
      <c r="AB17" s="71">
        <f t="shared" si="1"/>
        <v>13000</v>
      </c>
      <c r="AC17" s="72">
        <f t="shared" si="2"/>
        <v>0</v>
      </c>
      <c r="AD17" s="73">
        <f t="shared" si="3"/>
        <v>3</v>
      </c>
      <c r="AE17" s="71">
        <f t="shared" si="4"/>
        <v>7000</v>
      </c>
      <c r="AF17" s="72">
        <f t="shared" si="5"/>
        <v>0</v>
      </c>
      <c r="AG17" s="73">
        <f t="shared" si="6"/>
        <v>3</v>
      </c>
      <c r="AH17" s="71">
        <f t="shared" si="7"/>
        <v>15000</v>
      </c>
      <c r="AI17" s="72">
        <f t="shared" si="8"/>
        <v>0</v>
      </c>
      <c r="AJ17" s="73">
        <f t="shared" si="9"/>
        <v>3</v>
      </c>
      <c r="AK17" s="71">
        <f t="shared" si="10"/>
        <v>22105.666666666668</v>
      </c>
      <c r="AL17" s="72">
        <f t="shared" si="11"/>
        <v>2.6524119004176852</v>
      </c>
      <c r="AM17" s="73">
        <f t="shared" si="12"/>
        <v>3</v>
      </c>
      <c r="AN17" s="71">
        <f t="shared" si="13"/>
        <v>45089.333333333336</v>
      </c>
      <c r="AO17" s="72">
        <f t="shared" si="14"/>
        <v>-0.6239465357660402</v>
      </c>
      <c r="AP17" s="73">
        <f t="shared" si="15"/>
        <v>3</v>
      </c>
      <c r="AQ17" s="71">
        <f t="shared" si="16"/>
        <v>28808.666666666668</v>
      </c>
      <c r="AR17" s="72">
        <f t="shared" si="17"/>
        <v>-7.8818873949968795</v>
      </c>
      <c r="AS17" s="73">
        <f t="shared" si="18"/>
        <v>3</v>
      </c>
      <c r="AT17" s="76">
        <f t="shared" si="19"/>
        <v>18</v>
      </c>
      <c r="AU17" s="76" t="str">
        <f t="shared" si="20"/>
        <v>AMAN</v>
      </c>
      <c r="AV17" s="76" t="str">
        <f t="shared" si="21"/>
        <v>3</v>
      </c>
    </row>
    <row r="18" spans="1:48" ht="15.75" x14ac:dyDescent="0.25">
      <c r="A18" s="56">
        <f>IK!A18</f>
        <v>13</v>
      </c>
      <c r="B18" s="56" t="str">
        <f>IK!B18</f>
        <v>Sulawesi Tengah</v>
      </c>
      <c r="C18" s="56" t="str">
        <f>IK!C18</f>
        <v>KOTA PALU</v>
      </c>
      <c r="D18" s="57">
        <v>12038</v>
      </c>
      <c r="E18" s="57">
        <v>11991</v>
      </c>
      <c r="F18" s="108">
        <v>12000</v>
      </c>
      <c r="G18" s="58">
        <v>11301</v>
      </c>
      <c r="H18" s="57">
        <v>8161</v>
      </c>
      <c r="I18" s="57">
        <v>7583</v>
      </c>
      <c r="J18" s="108">
        <v>7500</v>
      </c>
      <c r="K18" s="58">
        <v>7210</v>
      </c>
      <c r="L18" s="57">
        <v>14516</v>
      </c>
      <c r="M18" s="57">
        <v>15000</v>
      </c>
      <c r="N18" s="108">
        <v>15194</v>
      </c>
      <c r="O18" s="58">
        <v>15000</v>
      </c>
      <c r="P18" s="57">
        <v>14806</v>
      </c>
      <c r="Q18" s="57">
        <v>16400</v>
      </c>
      <c r="R18" s="108">
        <v>15355</v>
      </c>
      <c r="S18" s="58">
        <v>15000</v>
      </c>
      <c r="T18" s="67">
        <v>40049</v>
      </c>
      <c r="U18" s="67">
        <v>41130</v>
      </c>
      <c r="V18" s="108">
        <v>36681</v>
      </c>
      <c r="W18" s="58">
        <v>30206</v>
      </c>
      <c r="X18" s="67">
        <v>29587</v>
      </c>
      <c r="Y18" s="67">
        <v>30171</v>
      </c>
      <c r="Z18" s="108">
        <v>27660</v>
      </c>
      <c r="AA18" s="58">
        <v>27235</v>
      </c>
      <c r="AB18" s="71">
        <f t="shared" si="1"/>
        <v>12009.666666666666</v>
      </c>
      <c r="AC18" s="72">
        <f t="shared" si="2"/>
        <v>-5.9008021316161932</v>
      </c>
      <c r="AD18" s="73">
        <f t="shared" si="3"/>
        <v>3</v>
      </c>
      <c r="AE18" s="71">
        <f t="shared" si="4"/>
        <v>7748</v>
      </c>
      <c r="AF18" s="72">
        <f t="shared" si="5"/>
        <v>-6.9437274135260711</v>
      </c>
      <c r="AG18" s="73">
        <f t="shared" si="6"/>
        <v>3</v>
      </c>
      <c r="AH18" s="71">
        <f t="shared" si="7"/>
        <v>14903.333333333334</v>
      </c>
      <c r="AI18" s="72">
        <f t="shared" si="8"/>
        <v>0.64862446879892233</v>
      </c>
      <c r="AJ18" s="73">
        <f t="shared" si="9"/>
        <v>3</v>
      </c>
      <c r="AK18" s="71">
        <f t="shared" si="10"/>
        <v>15520.333333333334</v>
      </c>
      <c r="AL18" s="72">
        <f t="shared" si="11"/>
        <v>-3.3525912244152871</v>
      </c>
      <c r="AM18" s="73">
        <f t="shared" si="12"/>
        <v>3</v>
      </c>
      <c r="AN18" s="71">
        <f t="shared" si="13"/>
        <v>39286.666666666664</v>
      </c>
      <c r="AO18" s="72">
        <f t="shared" si="14"/>
        <v>-23.113863906329538</v>
      </c>
      <c r="AP18" s="73">
        <f t="shared" si="15"/>
        <v>3</v>
      </c>
      <c r="AQ18" s="71">
        <f t="shared" si="16"/>
        <v>29139.333333333332</v>
      </c>
      <c r="AR18" s="72">
        <f t="shared" si="17"/>
        <v>-6.5352673362465366</v>
      </c>
      <c r="AS18" s="73">
        <f t="shared" si="18"/>
        <v>3</v>
      </c>
      <c r="AT18" s="76">
        <f t="shared" si="19"/>
        <v>18</v>
      </c>
      <c r="AU18" s="76" t="str">
        <f t="shared" si="20"/>
        <v>AMAN</v>
      </c>
      <c r="AV18" s="76" t="str">
        <f t="shared" si="21"/>
        <v>3</v>
      </c>
    </row>
    <row r="19" spans="1:48" x14ac:dyDescent="0.25">
      <c r="A19" s="119" t="str">
        <f>B3&amp;""&amp;B6</f>
        <v>PROVINSISulawesi Tengah</v>
      </c>
      <c r="B19" s="119"/>
      <c r="C19" s="119"/>
      <c r="D19" s="98">
        <f t="shared" ref="D19:AA19" si="22">AVERAGE(D6:D18)</f>
        <v>12233.692307692309</v>
      </c>
      <c r="E19" s="98">
        <f t="shared" si="22"/>
        <v>12224.538461538461</v>
      </c>
      <c r="F19" s="98">
        <f t="shared" si="22"/>
        <v>12090.923076923076</v>
      </c>
      <c r="G19" s="98">
        <f t="shared" si="22"/>
        <v>11968.846153846154</v>
      </c>
      <c r="H19" s="98">
        <f t="shared" si="22"/>
        <v>5352.1538461538457</v>
      </c>
      <c r="I19" s="98">
        <f t="shared" si="22"/>
        <v>5471.9230769230771</v>
      </c>
      <c r="J19" s="98">
        <f t="shared" si="22"/>
        <v>5349.8461538461543</v>
      </c>
      <c r="K19" s="98">
        <f t="shared" si="22"/>
        <v>5193.8461538461543</v>
      </c>
      <c r="L19" s="98">
        <f t="shared" si="22"/>
        <v>15091.307692307691</v>
      </c>
      <c r="M19" s="98">
        <f t="shared" si="22"/>
        <v>15145.615384615385</v>
      </c>
      <c r="N19" s="98">
        <f t="shared" si="22"/>
        <v>15323.384615384615</v>
      </c>
      <c r="O19" s="98">
        <f t="shared" si="22"/>
        <v>15393.923076923076</v>
      </c>
      <c r="P19" s="98">
        <f t="shared" si="22"/>
        <v>18528.461538461539</v>
      </c>
      <c r="Q19" s="98">
        <f t="shared" si="22"/>
        <v>18659.461538461539</v>
      </c>
      <c r="R19" s="98">
        <f t="shared" si="22"/>
        <v>18622.307692307691</v>
      </c>
      <c r="S19" s="98">
        <f t="shared" si="22"/>
        <v>18568.307692307691</v>
      </c>
      <c r="T19" s="98">
        <f t="shared" si="22"/>
        <v>35408.923076923078</v>
      </c>
      <c r="U19" s="98">
        <f t="shared" si="22"/>
        <v>36825.538461538461</v>
      </c>
      <c r="V19" s="98">
        <f t="shared" si="22"/>
        <v>35744.384615384617</v>
      </c>
      <c r="W19" s="98">
        <f t="shared" si="22"/>
        <v>34225.230769230766</v>
      </c>
      <c r="X19" s="98">
        <f t="shared" si="22"/>
        <v>29776.23076923077</v>
      </c>
      <c r="Y19" s="98">
        <f t="shared" si="22"/>
        <v>30478.076923076922</v>
      </c>
      <c r="Z19" s="98">
        <f t="shared" si="22"/>
        <v>29925.923076923078</v>
      </c>
      <c r="AA19" s="98">
        <f t="shared" si="22"/>
        <v>29911.076923076922</v>
      </c>
      <c r="AB19" s="95">
        <f t="shared" si="1"/>
        <v>12183.051282051281</v>
      </c>
      <c r="AC19" s="96">
        <f t="shared" si="2"/>
        <v>-1.7582223307284719</v>
      </c>
      <c r="AD19" s="97">
        <f t="shared" si="3"/>
        <v>3</v>
      </c>
      <c r="AE19" s="95">
        <f t="shared" si="4"/>
        <v>5391.3076923076924</v>
      </c>
      <c r="AF19" s="96">
        <f t="shared" si="5"/>
        <v>-3.6625907800305271</v>
      </c>
      <c r="AG19" s="97">
        <f t="shared" si="6"/>
        <v>3</v>
      </c>
      <c r="AH19" s="95">
        <f t="shared" si="7"/>
        <v>15186.769230769232</v>
      </c>
      <c r="AI19" s="96">
        <f t="shared" si="8"/>
        <v>1.3640415746499841</v>
      </c>
      <c r="AJ19" s="97">
        <f t="shared" si="9"/>
        <v>3</v>
      </c>
      <c r="AK19" s="95">
        <f t="shared" si="10"/>
        <v>18603.410256410254</v>
      </c>
      <c r="AL19" s="96">
        <f t="shared" si="11"/>
        <v>-0.18868886735681795</v>
      </c>
      <c r="AM19" s="97">
        <f t="shared" si="12"/>
        <v>3</v>
      </c>
      <c r="AN19" s="95">
        <f t="shared" si="13"/>
        <v>35992.948717948719</v>
      </c>
      <c r="AO19" s="96">
        <f t="shared" si="14"/>
        <v>-4.9112896044453267</v>
      </c>
      <c r="AP19" s="97">
        <f t="shared" si="15"/>
        <v>3</v>
      </c>
      <c r="AQ19" s="95">
        <f t="shared" si="16"/>
        <v>30060.076923076922</v>
      </c>
      <c r="AR19" s="96">
        <f t="shared" si="17"/>
        <v>-0.49567404761234551</v>
      </c>
      <c r="AS19" s="97">
        <f t="shared" si="18"/>
        <v>3</v>
      </c>
      <c r="AT19" s="74">
        <f t="shared" si="19"/>
        <v>18</v>
      </c>
      <c r="AU19" s="74" t="str">
        <f t="shared" si="20"/>
        <v>AMAN</v>
      </c>
      <c r="AV19" s="74" t="str">
        <f t="shared" si="21"/>
        <v>3</v>
      </c>
    </row>
  </sheetData>
  <mergeCells count="42"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19:C1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</mergeCells>
  <conditionalFormatting sqref="AU6:AU1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1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H28" sqref="H28"/>
    </sheetView>
  </sheetViews>
  <sheetFormatPr defaultColWidth="9" defaultRowHeight="15" x14ac:dyDescent="0.25"/>
  <cols>
    <col min="1" max="1" width="5.140625" customWidth="1"/>
    <col min="2" max="2" width="22.5703125" customWidth="1"/>
    <col min="3" max="3" width="37.5703125" customWidth="1"/>
    <col min="4" max="7" width="14.140625" customWidth="1"/>
    <col min="8" max="8" width="18.85546875" customWidth="1"/>
    <col min="9" max="9" width="14.140625" customWidth="1"/>
    <col min="10" max="11" width="12.5703125" customWidth="1"/>
    <col min="12" max="12" width="14.42578125" customWidth="1"/>
  </cols>
  <sheetData>
    <row r="1" spans="1:12" ht="18.75" x14ac:dyDescent="0.3">
      <c r="A1" s="152" t="s">
        <v>584</v>
      </c>
      <c r="B1" s="152"/>
      <c r="C1" s="152"/>
      <c r="D1" s="38"/>
      <c r="E1" s="38"/>
      <c r="F1" s="38"/>
      <c r="G1" s="38"/>
      <c r="H1" s="38"/>
      <c r="I1" s="38"/>
    </row>
    <row r="2" spans="1:12" ht="18.75" x14ac:dyDescent="0.3">
      <c r="A2" s="37"/>
      <c r="B2" s="37"/>
      <c r="C2" s="37"/>
      <c r="D2" s="38"/>
      <c r="E2" s="38"/>
      <c r="F2" s="38"/>
      <c r="G2" s="38"/>
      <c r="H2" s="38"/>
      <c r="I2" s="38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 x14ac:dyDescent="0.25">
      <c r="A4" s="142" t="s">
        <v>3</v>
      </c>
      <c r="B4" s="142" t="s">
        <v>4</v>
      </c>
      <c r="C4" s="142" t="s">
        <v>5</v>
      </c>
      <c r="D4" s="153" t="s">
        <v>585</v>
      </c>
      <c r="E4" s="153" t="s">
        <v>586</v>
      </c>
      <c r="F4" s="153" t="s">
        <v>587</v>
      </c>
      <c r="G4" s="153" t="s">
        <v>588</v>
      </c>
      <c r="H4" s="153" t="s">
        <v>589</v>
      </c>
      <c r="I4" s="142" t="s">
        <v>590</v>
      </c>
      <c r="J4" s="142" t="s">
        <v>591</v>
      </c>
      <c r="K4" s="142"/>
      <c r="L4" s="142"/>
    </row>
    <row r="5" spans="1:12" s="35" customFormat="1" ht="15.75" x14ac:dyDescent="0.25">
      <c r="A5" s="142"/>
      <c r="B5" s="142"/>
      <c r="C5" s="142"/>
      <c r="D5" s="153"/>
      <c r="E5" s="153"/>
      <c r="F5" s="153"/>
      <c r="G5" s="153"/>
      <c r="H5" s="153"/>
      <c r="I5" s="142"/>
      <c r="J5" s="40" t="s">
        <v>581</v>
      </c>
      <c r="K5" s="40" t="s">
        <v>579</v>
      </c>
      <c r="L5" s="40" t="s">
        <v>582</v>
      </c>
    </row>
    <row r="6" spans="1:12" x14ac:dyDescent="0.25">
      <c r="A6" s="41">
        <f>IK!A6</f>
        <v>1</v>
      </c>
      <c r="B6" s="41" t="str">
        <f>IK!B6</f>
        <v>Sulawesi Tengah</v>
      </c>
      <c r="C6" s="41" t="str">
        <f>IK!C6</f>
        <v>BANGGAI</v>
      </c>
      <c r="D6" s="42">
        <v>293</v>
      </c>
      <c r="E6" s="42">
        <v>1640</v>
      </c>
      <c r="F6" s="42">
        <v>12541</v>
      </c>
      <c r="G6" s="42">
        <v>612</v>
      </c>
      <c r="H6" s="43">
        <v>1933</v>
      </c>
      <c r="I6" s="43">
        <f t="shared" ref="I6:I18" si="0">SUM(D6:H6)</f>
        <v>17019</v>
      </c>
      <c r="J6" s="45">
        <f t="shared" ref="J6:J19" si="1">IF(ISERROR((H6/I6)*100),0,((H6/I6)*100))</f>
        <v>11.357894118338328</v>
      </c>
      <c r="K6" s="46">
        <f>IF(J6="","",IF(J6&lt;10,3,IF(J6&gt;15,1,2)))</f>
        <v>2</v>
      </c>
      <c r="L6" s="46" t="str">
        <f>IF(K6="","",IF(K6=3,"AMAN",IF(K6=1,"RENTAN","WASPADA")))</f>
        <v>WASPADA</v>
      </c>
    </row>
    <row r="7" spans="1:12" x14ac:dyDescent="0.25">
      <c r="A7" s="41">
        <f>IK!A7</f>
        <v>2</v>
      </c>
      <c r="B7" s="41" t="str">
        <f>IK!B7</f>
        <v>Sulawesi Tengah</v>
      </c>
      <c r="C7" s="41" t="str">
        <f>IK!C7</f>
        <v>POSO</v>
      </c>
      <c r="D7" s="42">
        <v>167</v>
      </c>
      <c r="E7" s="42">
        <v>1049</v>
      </c>
      <c r="F7" s="42">
        <v>10030</v>
      </c>
      <c r="G7" s="42">
        <v>401</v>
      </c>
      <c r="H7" s="43">
        <v>1216</v>
      </c>
      <c r="I7" s="43">
        <f t="shared" si="0"/>
        <v>12863</v>
      </c>
      <c r="J7" s="45">
        <f t="shared" si="1"/>
        <v>9.4534711964549487</v>
      </c>
      <c r="K7" s="46">
        <f t="shared" ref="K7:K18" si="2">IF(J7="","",IF(J7&lt;10,3,IF(J7&gt;15,1,2)))</f>
        <v>3</v>
      </c>
      <c r="L7" s="46" t="str">
        <f t="shared" ref="L7:L18" si="3">IF(K7="","",IF(K7=3,"AMAN",IF(K7=1,"RENTAN","WASPADA")))</f>
        <v>AMAN</v>
      </c>
    </row>
    <row r="8" spans="1:12" x14ac:dyDescent="0.25">
      <c r="A8" s="41">
        <f>IK!A8</f>
        <v>3</v>
      </c>
      <c r="B8" s="41" t="str">
        <f>IK!B8</f>
        <v>Sulawesi Tengah</v>
      </c>
      <c r="C8" s="41" t="str">
        <f>IK!C8</f>
        <v>DONGGALA</v>
      </c>
      <c r="D8" s="42">
        <v>550</v>
      </c>
      <c r="E8" s="42">
        <v>2320</v>
      </c>
      <c r="F8" s="42">
        <v>15908</v>
      </c>
      <c r="G8" s="42">
        <v>629</v>
      </c>
      <c r="H8" s="43">
        <v>2870</v>
      </c>
      <c r="I8" s="43">
        <f t="shared" si="0"/>
        <v>22277</v>
      </c>
      <c r="J8" s="45">
        <f t="shared" si="1"/>
        <v>12.883242806482023</v>
      </c>
      <c r="K8" s="46">
        <f t="shared" si="2"/>
        <v>2</v>
      </c>
      <c r="L8" s="46" t="str">
        <f t="shared" si="3"/>
        <v>WASPADA</v>
      </c>
    </row>
    <row r="9" spans="1:12" x14ac:dyDescent="0.25">
      <c r="A9" s="41">
        <f>IK!A9</f>
        <v>4</v>
      </c>
      <c r="B9" s="41" t="str">
        <f>IK!B9</f>
        <v>Sulawesi Tengah</v>
      </c>
      <c r="C9" s="41" t="str">
        <f>IK!C9</f>
        <v>TOLITOLI</v>
      </c>
      <c r="D9" s="42">
        <v>166</v>
      </c>
      <c r="E9" s="42">
        <v>605</v>
      </c>
      <c r="F9" s="42">
        <v>7977</v>
      </c>
      <c r="G9" s="42">
        <v>318</v>
      </c>
      <c r="H9" s="43">
        <v>771</v>
      </c>
      <c r="I9" s="43">
        <f t="shared" si="0"/>
        <v>9837</v>
      </c>
      <c r="J9" s="45">
        <f t="shared" si="1"/>
        <v>7.837755413235743</v>
      </c>
      <c r="K9" s="46">
        <f t="shared" si="2"/>
        <v>3</v>
      </c>
      <c r="L9" s="46" t="str">
        <f t="shared" si="3"/>
        <v>AMAN</v>
      </c>
    </row>
    <row r="10" spans="1:12" x14ac:dyDescent="0.25">
      <c r="A10" s="41">
        <f>IK!A10</f>
        <v>5</v>
      </c>
      <c r="B10" s="41" t="str">
        <f>IK!B10</f>
        <v>Sulawesi Tengah</v>
      </c>
      <c r="C10" s="41" t="str">
        <f>IK!C10</f>
        <v>BUOL</v>
      </c>
      <c r="D10" s="42">
        <v>272</v>
      </c>
      <c r="E10" s="42">
        <v>811</v>
      </c>
      <c r="F10" s="42">
        <v>5401</v>
      </c>
      <c r="G10" s="42">
        <v>85</v>
      </c>
      <c r="H10" s="43">
        <v>1083</v>
      </c>
      <c r="I10" s="43">
        <f t="shared" si="0"/>
        <v>7652</v>
      </c>
      <c r="J10" s="45">
        <f t="shared" si="1"/>
        <v>14.153162571876635</v>
      </c>
      <c r="K10" s="46">
        <f t="shared" si="2"/>
        <v>2</v>
      </c>
      <c r="L10" s="46" t="str">
        <f t="shared" si="3"/>
        <v>WASPADA</v>
      </c>
    </row>
    <row r="11" spans="1:12" x14ac:dyDescent="0.25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42">
        <v>79</v>
      </c>
      <c r="E11" s="42">
        <v>2367</v>
      </c>
      <c r="F11" s="42">
        <v>5217</v>
      </c>
      <c r="G11" s="42">
        <v>272</v>
      </c>
      <c r="H11" s="43">
        <v>2446</v>
      </c>
      <c r="I11" s="43">
        <f t="shared" si="0"/>
        <v>10381</v>
      </c>
      <c r="J11" s="45">
        <f t="shared" si="1"/>
        <v>23.562277237260378</v>
      </c>
      <c r="K11" s="46">
        <f t="shared" si="2"/>
        <v>1</v>
      </c>
      <c r="L11" s="46" t="str">
        <f t="shared" si="3"/>
        <v>RENTAN</v>
      </c>
    </row>
    <row r="12" spans="1:12" x14ac:dyDescent="0.25">
      <c r="A12" s="41">
        <f>IK!A12</f>
        <v>7</v>
      </c>
      <c r="B12" s="41" t="str">
        <f>IK!B12</f>
        <v>Sulawesi Tengah</v>
      </c>
      <c r="C12" s="41" t="str">
        <f>IK!C12</f>
        <v>BANGGAI KEPULAUAN</v>
      </c>
      <c r="D12" s="42">
        <v>148</v>
      </c>
      <c r="E12" s="42">
        <v>798</v>
      </c>
      <c r="F12" s="42">
        <v>4529</v>
      </c>
      <c r="G12" s="42">
        <v>147</v>
      </c>
      <c r="H12" s="43">
        <v>946</v>
      </c>
      <c r="I12" s="43">
        <f t="shared" si="0"/>
        <v>6568</v>
      </c>
      <c r="J12" s="45">
        <f t="shared" si="1"/>
        <v>14.403166869671132</v>
      </c>
      <c r="K12" s="46">
        <f t="shared" si="2"/>
        <v>2</v>
      </c>
      <c r="L12" s="46" t="str">
        <f t="shared" si="3"/>
        <v>WASPADA</v>
      </c>
    </row>
    <row r="13" spans="1:12" x14ac:dyDescent="0.25">
      <c r="A13" s="41">
        <f>IK!A13</f>
        <v>8</v>
      </c>
      <c r="B13" s="41" t="str">
        <f>IK!B13</f>
        <v>Sulawesi Tengah</v>
      </c>
      <c r="C13" s="41" t="str">
        <f>IK!C13</f>
        <v>PARIGI MOUTONG</v>
      </c>
      <c r="D13" s="42">
        <v>586</v>
      </c>
      <c r="E13" s="42">
        <v>16376</v>
      </c>
      <c r="F13" s="42">
        <v>16376</v>
      </c>
      <c r="G13" s="42">
        <v>560</v>
      </c>
      <c r="H13" s="43">
        <v>16962</v>
      </c>
      <c r="I13" s="43">
        <f t="shared" si="0"/>
        <v>50860</v>
      </c>
      <c r="J13" s="45">
        <f t="shared" si="1"/>
        <v>33.350373574518279</v>
      </c>
      <c r="K13" s="46">
        <f t="shared" si="2"/>
        <v>1</v>
      </c>
      <c r="L13" s="46" t="str">
        <f t="shared" si="3"/>
        <v>RENTAN</v>
      </c>
    </row>
    <row r="14" spans="1:12" x14ac:dyDescent="0.25">
      <c r="A14" s="41">
        <f>IK!A14</f>
        <v>9</v>
      </c>
      <c r="B14" s="41" t="str">
        <f>IK!B14</f>
        <v>Sulawesi Tengah</v>
      </c>
      <c r="C14" s="41" t="str">
        <f>IK!C14</f>
        <v>TOJO UNAUNA</v>
      </c>
      <c r="D14" s="42">
        <v>216</v>
      </c>
      <c r="E14" s="42">
        <v>1072</v>
      </c>
      <c r="F14" s="42">
        <v>8020</v>
      </c>
      <c r="G14" s="42">
        <v>167</v>
      </c>
      <c r="H14" s="43">
        <v>1288</v>
      </c>
      <c r="I14" s="43">
        <f t="shared" si="0"/>
        <v>10763</v>
      </c>
      <c r="J14" s="45">
        <f t="shared" si="1"/>
        <v>11.966923720152375</v>
      </c>
      <c r="K14" s="46">
        <f t="shared" si="2"/>
        <v>2</v>
      </c>
      <c r="L14" s="46" t="str">
        <f t="shared" si="3"/>
        <v>WASPADA</v>
      </c>
    </row>
    <row r="15" spans="1:12" x14ac:dyDescent="0.25">
      <c r="A15" s="41">
        <f>IK!A15</f>
        <v>10</v>
      </c>
      <c r="B15" s="41" t="str">
        <f>IK!B15</f>
        <v>Sulawesi Tengah</v>
      </c>
      <c r="C15" s="41" t="str">
        <f>IK!C15</f>
        <v>SIGI</v>
      </c>
      <c r="D15" s="42">
        <v>408</v>
      </c>
      <c r="E15" s="42">
        <v>1601</v>
      </c>
      <c r="F15" s="42">
        <v>9776</v>
      </c>
      <c r="G15" s="42">
        <v>299</v>
      </c>
      <c r="H15" s="43">
        <v>2009</v>
      </c>
      <c r="I15" s="43">
        <f t="shared" si="0"/>
        <v>14093</v>
      </c>
      <c r="J15" s="45">
        <f t="shared" si="1"/>
        <v>14.25530405165685</v>
      </c>
      <c r="K15" s="46">
        <f t="shared" si="2"/>
        <v>2</v>
      </c>
      <c r="L15" s="46" t="str">
        <f t="shared" si="3"/>
        <v>WASPADA</v>
      </c>
    </row>
    <row r="16" spans="1:12" x14ac:dyDescent="0.25">
      <c r="A16" s="41">
        <f>IK!A16</f>
        <v>11</v>
      </c>
      <c r="B16" s="41" t="str">
        <f>IK!B16</f>
        <v>Sulawesi Tengah</v>
      </c>
      <c r="C16" s="41" t="str">
        <f>IK!C16</f>
        <v>BANGGAI LAUT</v>
      </c>
      <c r="D16" s="42">
        <v>78</v>
      </c>
      <c r="E16" s="42">
        <v>490</v>
      </c>
      <c r="F16" s="42">
        <v>5192</v>
      </c>
      <c r="G16" s="42">
        <v>124</v>
      </c>
      <c r="H16" s="43">
        <v>568</v>
      </c>
      <c r="I16" s="43">
        <f t="shared" si="0"/>
        <v>6452</v>
      </c>
      <c r="J16" s="45">
        <f t="shared" si="1"/>
        <v>8.8034717916924983</v>
      </c>
      <c r="K16" s="46">
        <f t="shared" si="2"/>
        <v>3</v>
      </c>
      <c r="L16" s="46" t="str">
        <f t="shared" si="3"/>
        <v>AMAN</v>
      </c>
    </row>
    <row r="17" spans="1:12" x14ac:dyDescent="0.25">
      <c r="A17" s="41">
        <f>IK!A17</f>
        <v>12</v>
      </c>
      <c r="B17" s="41" t="str">
        <f>IK!B17</f>
        <v>Sulawesi Tengah</v>
      </c>
      <c r="C17" s="41" t="str">
        <f>IK!C17</f>
        <v>MOROWALI UTARA</v>
      </c>
      <c r="D17" s="42">
        <v>99</v>
      </c>
      <c r="E17" s="42">
        <v>639</v>
      </c>
      <c r="F17" s="42">
        <v>4800</v>
      </c>
      <c r="G17" s="42">
        <v>252</v>
      </c>
      <c r="H17" s="43">
        <v>738</v>
      </c>
      <c r="I17" s="43">
        <f t="shared" si="0"/>
        <v>6528</v>
      </c>
      <c r="J17" s="45">
        <f t="shared" si="1"/>
        <v>11.305147058823529</v>
      </c>
      <c r="K17" s="46">
        <f t="shared" si="2"/>
        <v>2</v>
      </c>
      <c r="L17" s="46" t="str">
        <f t="shared" si="3"/>
        <v>WASPADA</v>
      </c>
    </row>
    <row r="18" spans="1:12" x14ac:dyDescent="0.25">
      <c r="A18" s="41">
        <f>IK!A18</f>
        <v>13</v>
      </c>
      <c r="B18" s="41" t="str">
        <f>IK!B18</f>
        <v>Sulawesi Tengah</v>
      </c>
      <c r="C18" s="41" t="str">
        <f>IK!C18</f>
        <v>KOTA PALU</v>
      </c>
      <c r="D18" s="42">
        <v>319</v>
      </c>
      <c r="E18" s="42">
        <v>1468</v>
      </c>
      <c r="F18" s="42">
        <v>15370</v>
      </c>
      <c r="G18" s="42">
        <v>347</v>
      </c>
      <c r="H18" s="43">
        <v>1787</v>
      </c>
      <c r="I18" s="43">
        <f t="shared" si="0"/>
        <v>19291</v>
      </c>
      <c r="J18" s="45">
        <f t="shared" si="1"/>
        <v>9.2633870716914615</v>
      </c>
      <c r="K18" s="46">
        <f t="shared" si="2"/>
        <v>3</v>
      </c>
      <c r="L18" s="46" t="str">
        <f t="shared" si="3"/>
        <v>AMAN</v>
      </c>
    </row>
    <row r="19" spans="1:12" x14ac:dyDescent="0.25">
      <c r="A19" s="151" t="str">
        <f>B4&amp;""&amp;B6</f>
        <v>PROVINSISulawesi Tengah</v>
      </c>
      <c r="B19" s="151"/>
      <c r="C19" s="151"/>
      <c r="D19" s="101">
        <f>SUM(D6:D18)</f>
        <v>3381</v>
      </c>
      <c r="E19" s="101">
        <f>SUM(E6:E18)</f>
        <v>31236</v>
      </c>
      <c r="F19" s="101">
        <f>SUM(F6:F18)</f>
        <v>121137</v>
      </c>
      <c r="G19" s="101">
        <f>SUM(G6:G18)</f>
        <v>4213</v>
      </c>
      <c r="H19" s="44">
        <f t="shared" ref="H19" si="4">D19+E19</f>
        <v>34617</v>
      </c>
      <c r="I19" s="44">
        <f t="shared" ref="I19" si="5">SUM(D19:G19)</f>
        <v>159967</v>
      </c>
      <c r="J19" s="99">
        <f t="shared" si="1"/>
        <v>21.640088268205318</v>
      </c>
      <c r="K19" s="100">
        <f>IF(J19="","",IF(J19&lt;10,3,IF(J19&gt;15,1,2)))</f>
        <v>1</v>
      </c>
      <c r="L19" s="100" t="str">
        <f>IF(K19="","",IF(K19=3,"AMAN",IF(K19=1,"RENTAN","WASPADA")))</f>
        <v>RENTAN</v>
      </c>
    </row>
  </sheetData>
  <autoFilter ref="A5:L18" xr:uid="{00000000-0009-0000-0000-000002000000}"/>
  <mergeCells count="12">
    <mergeCell ref="A19:C1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1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9"/>
  <sheetViews>
    <sheetView showGridLines="0" tabSelected="1" zoomScale="85" zoomScaleNormal="85" workbookViewId="0">
      <pane xSplit="3" ySplit="5" topLeftCell="D6" activePane="bottomRight" state="frozen"/>
      <selection pane="topRight"/>
      <selection pane="bottomLeft"/>
      <selection pane="bottomRight" activeCell="P28" sqref="P28"/>
    </sheetView>
  </sheetViews>
  <sheetFormatPr defaultColWidth="9" defaultRowHeight="15" x14ac:dyDescent="0.2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 x14ac:dyDescent="0.3">
      <c r="A1" s="154" t="s">
        <v>592</v>
      </c>
      <c r="B1" s="154"/>
      <c r="C1" s="154"/>
      <c r="D1" s="154"/>
      <c r="E1" s="154"/>
      <c r="F1" s="154"/>
    </row>
    <row r="2" spans="1:9" ht="18.75" x14ac:dyDescent="0.3">
      <c r="A2" s="32"/>
      <c r="B2" s="32"/>
      <c r="C2" s="32"/>
      <c r="D2" s="32"/>
      <c r="E2" s="32"/>
      <c r="F2" s="32"/>
    </row>
    <row r="3" spans="1:9" ht="18.75" x14ac:dyDescent="0.3">
      <c r="A3" s="32"/>
      <c r="B3" s="32"/>
      <c r="C3" s="32"/>
      <c r="D3" s="32"/>
      <c r="E3" s="32"/>
      <c r="F3" s="32"/>
    </row>
    <row r="4" spans="1:9" ht="20.100000000000001" customHeight="1" x14ac:dyDescent="0.25"/>
    <row r="5" spans="1:9" ht="63" x14ac:dyDescent="0.25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 x14ac:dyDescent="0.25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3</v>
      </c>
      <c r="E6" s="30" t="str">
        <f>IA!AV6</f>
        <v>3</v>
      </c>
      <c r="F6" s="30">
        <f>IP!K6</f>
        <v>2</v>
      </c>
      <c r="G6" s="31">
        <f t="shared" ref="G6:G19" si="0">IF(ISERROR(D6+E6+F6),"",D6+E6+F6)</f>
        <v>8</v>
      </c>
      <c r="H6" s="31" t="str">
        <f t="shared" ref="H6:H19" si="1">IF(G6="","",IF(G6&lt;=5,"RENTAN",IF(G6&gt;7,"AMAN","WASPADA")))</f>
        <v>AMAN</v>
      </c>
      <c r="I6" s="30" t="str">
        <f t="shared" ref="I6:I19" si="2">IF(H6="","",IF(H6="aman","3",IF(H6="rentan","1","2")))</f>
        <v>3</v>
      </c>
    </row>
    <row r="7" spans="1:9" x14ac:dyDescent="0.25">
      <c r="A7" s="29">
        <f>IK!A7</f>
        <v>2</v>
      </c>
      <c r="B7" s="29" t="str">
        <f>IK!B7</f>
        <v>Sulawesi Tengah</v>
      </c>
      <c r="C7" s="29" t="str">
        <f>IK!C7</f>
        <v>POSO</v>
      </c>
      <c r="D7" s="30" t="str">
        <f>IK!Z7</f>
        <v>2</v>
      </c>
      <c r="E7" s="30" t="str">
        <f>IA!AV7</f>
        <v>3</v>
      </c>
      <c r="F7" s="30">
        <f>IP!K7</f>
        <v>3</v>
      </c>
      <c r="G7" s="31">
        <f t="shared" si="0"/>
        <v>8</v>
      </c>
      <c r="H7" s="31" t="str">
        <f t="shared" si="1"/>
        <v>AMAN</v>
      </c>
      <c r="I7" s="30" t="str">
        <f t="shared" si="2"/>
        <v>3</v>
      </c>
    </row>
    <row r="8" spans="1:9" x14ac:dyDescent="0.25">
      <c r="A8" s="29">
        <f>IK!A8</f>
        <v>3</v>
      </c>
      <c r="B8" s="29" t="str">
        <f>IK!B8</f>
        <v>Sulawesi Tengah</v>
      </c>
      <c r="C8" s="29" t="str">
        <f>IK!C8</f>
        <v>DONGGALA</v>
      </c>
      <c r="D8" s="30" t="str">
        <f>IK!Z8</f>
        <v>2</v>
      </c>
      <c r="E8" s="30" t="str">
        <f>IA!AV8</f>
        <v>3</v>
      </c>
      <c r="F8" s="30">
        <f>IP!K8</f>
        <v>2</v>
      </c>
      <c r="G8" s="31">
        <f t="shared" si="0"/>
        <v>7</v>
      </c>
      <c r="H8" s="31" t="str">
        <f t="shared" si="1"/>
        <v>WASPADA</v>
      </c>
      <c r="I8" s="30" t="str">
        <f t="shared" si="2"/>
        <v>2</v>
      </c>
    </row>
    <row r="9" spans="1:9" x14ac:dyDescent="0.25">
      <c r="A9" s="29">
        <f>IK!A9</f>
        <v>4</v>
      </c>
      <c r="B9" s="29" t="str">
        <f>IK!B9</f>
        <v>Sulawesi Tengah</v>
      </c>
      <c r="C9" s="29" t="str">
        <f>IK!C9</f>
        <v>TOLITOLI</v>
      </c>
      <c r="D9" s="30" t="str">
        <f>IK!Z9</f>
        <v>3</v>
      </c>
      <c r="E9" s="30" t="str">
        <f>IA!AV9</f>
        <v>3</v>
      </c>
      <c r="F9" s="30">
        <f>IP!K9</f>
        <v>3</v>
      </c>
      <c r="G9" s="31">
        <f t="shared" si="0"/>
        <v>9</v>
      </c>
      <c r="H9" s="31" t="str">
        <f t="shared" si="1"/>
        <v>AMAN</v>
      </c>
      <c r="I9" s="30" t="str">
        <f t="shared" si="2"/>
        <v>3</v>
      </c>
    </row>
    <row r="10" spans="1:9" x14ac:dyDescent="0.25">
      <c r="A10" s="29">
        <f>IK!A10</f>
        <v>5</v>
      </c>
      <c r="B10" s="29" t="str">
        <f>IK!B10</f>
        <v>Sulawesi Tengah</v>
      </c>
      <c r="C10" s="29" t="str">
        <f>IK!C10</f>
        <v>BUOL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 x14ac:dyDescent="0.25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2</v>
      </c>
      <c r="E11" s="30" t="str">
        <f>IA!AV11</f>
        <v>3</v>
      </c>
      <c r="F11" s="30">
        <f>IP!K11</f>
        <v>1</v>
      </c>
      <c r="G11" s="31">
        <f t="shared" si="0"/>
        <v>6</v>
      </c>
      <c r="H11" s="31" t="str">
        <f t="shared" si="1"/>
        <v>WASPADA</v>
      </c>
      <c r="I11" s="30" t="str">
        <f t="shared" si="2"/>
        <v>2</v>
      </c>
    </row>
    <row r="12" spans="1:9" x14ac:dyDescent="0.25">
      <c r="A12" s="29">
        <f>IK!A12</f>
        <v>7</v>
      </c>
      <c r="B12" s="29" t="str">
        <f>IK!B12</f>
        <v>Sulawesi Tengah</v>
      </c>
      <c r="C12" s="29" t="str">
        <f>IK!C12</f>
        <v>BANGGAI KEPULAUAN</v>
      </c>
      <c r="D12" s="30" t="str">
        <f>IK!Z12</f>
        <v>2</v>
      </c>
      <c r="E12" s="30" t="str">
        <f>IA!AV12</f>
        <v>3</v>
      </c>
      <c r="F12" s="30">
        <f>IP!K12</f>
        <v>2</v>
      </c>
      <c r="G12" s="31">
        <f t="shared" si="0"/>
        <v>7</v>
      </c>
      <c r="H12" s="31" t="str">
        <f t="shared" si="1"/>
        <v>WASPADA</v>
      </c>
      <c r="I12" s="30" t="str">
        <f t="shared" si="2"/>
        <v>2</v>
      </c>
    </row>
    <row r="13" spans="1:9" x14ac:dyDescent="0.25">
      <c r="A13" s="29">
        <f>IK!A13</f>
        <v>8</v>
      </c>
      <c r="B13" s="29" t="str">
        <f>IK!B13</f>
        <v>Sulawesi Tengah</v>
      </c>
      <c r="C13" s="29" t="str">
        <f>IK!C13</f>
        <v>PARIGI MOUTONG</v>
      </c>
      <c r="D13" s="30" t="str">
        <f>IK!Z13</f>
        <v>3</v>
      </c>
      <c r="E13" s="30" t="str">
        <f>IA!AV13</f>
        <v>3</v>
      </c>
      <c r="F13" s="30">
        <f>IP!K13</f>
        <v>1</v>
      </c>
      <c r="G13" s="31">
        <f t="shared" si="0"/>
        <v>7</v>
      </c>
      <c r="H13" s="31" t="str">
        <f t="shared" si="1"/>
        <v>WASPADA</v>
      </c>
      <c r="I13" s="30" t="str">
        <f t="shared" si="2"/>
        <v>2</v>
      </c>
    </row>
    <row r="14" spans="1:9" x14ac:dyDescent="0.25">
      <c r="A14" s="29">
        <f>IK!A14</f>
        <v>9</v>
      </c>
      <c r="B14" s="29" t="str">
        <f>IK!B14</f>
        <v>Sulawesi Tengah</v>
      </c>
      <c r="C14" s="29" t="str">
        <f>IK!C14</f>
        <v>TOJO UNAUNA</v>
      </c>
      <c r="D14" s="30" t="str">
        <f>IK!Z14</f>
        <v>2</v>
      </c>
      <c r="E14" s="30" t="str">
        <f>IA!AV14</f>
        <v>3</v>
      </c>
      <c r="F14" s="30">
        <f>IP!K14</f>
        <v>2</v>
      </c>
      <c r="G14" s="31">
        <f t="shared" si="0"/>
        <v>7</v>
      </c>
      <c r="H14" s="31" t="str">
        <f t="shared" si="1"/>
        <v>WASPADA</v>
      </c>
      <c r="I14" s="30" t="str">
        <f t="shared" si="2"/>
        <v>2</v>
      </c>
    </row>
    <row r="15" spans="1:9" x14ac:dyDescent="0.25">
      <c r="A15" s="29">
        <f>IK!A15</f>
        <v>10</v>
      </c>
      <c r="B15" s="29" t="str">
        <f>IK!B15</f>
        <v>Sulawesi Tengah</v>
      </c>
      <c r="C15" s="29" t="str">
        <f>IK!C15</f>
        <v>SIGI</v>
      </c>
      <c r="D15" s="30" t="str">
        <f>IK!Z15</f>
        <v>2</v>
      </c>
      <c r="E15" s="30" t="str">
        <f>IA!AV15</f>
        <v>3</v>
      </c>
      <c r="F15" s="30">
        <f>IP!K15</f>
        <v>2</v>
      </c>
      <c r="G15" s="31">
        <f t="shared" si="0"/>
        <v>7</v>
      </c>
      <c r="H15" s="31" t="str">
        <f t="shared" si="1"/>
        <v>WASPADA</v>
      </c>
      <c r="I15" s="30" t="str">
        <f t="shared" si="2"/>
        <v>2</v>
      </c>
    </row>
    <row r="16" spans="1:9" x14ac:dyDescent="0.25">
      <c r="A16" s="29">
        <f>IK!A16</f>
        <v>11</v>
      </c>
      <c r="B16" s="29" t="str">
        <f>IK!B16</f>
        <v>Sulawesi Tengah</v>
      </c>
      <c r="C16" s="29" t="str">
        <f>IK!C16</f>
        <v>BANGGAI LAUT</v>
      </c>
      <c r="D16" s="30" t="str">
        <f>IK!Z16</f>
        <v>2</v>
      </c>
      <c r="E16" s="30" t="str">
        <f>IA!AV16</f>
        <v>3</v>
      </c>
      <c r="F16" s="30">
        <f>IP!K16</f>
        <v>3</v>
      </c>
      <c r="G16" s="31">
        <f t="shared" si="0"/>
        <v>8</v>
      </c>
      <c r="H16" s="31" t="str">
        <f t="shared" si="1"/>
        <v>AMAN</v>
      </c>
      <c r="I16" s="30" t="str">
        <f t="shared" si="2"/>
        <v>3</v>
      </c>
    </row>
    <row r="17" spans="1:9" x14ac:dyDescent="0.25">
      <c r="A17" s="29">
        <f>IK!A17</f>
        <v>12</v>
      </c>
      <c r="B17" s="29" t="str">
        <f>IK!B17</f>
        <v>Sulawesi Tengah</v>
      </c>
      <c r="C17" s="29" t="str">
        <f>IK!C17</f>
        <v>MOROWALI UTARA</v>
      </c>
      <c r="D17" s="30" t="str">
        <f>IK!Z17</f>
        <v>2</v>
      </c>
      <c r="E17" s="30" t="str">
        <f>IA!AV17</f>
        <v>3</v>
      </c>
      <c r="F17" s="30">
        <f>IP!K17</f>
        <v>2</v>
      </c>
      <c r="G17" s="31">
        <f t="shared" si="0"/>
        <v>7</v>
      </c>
      <c r="H17" s="31" t="str">
        <f t="shared" si="1"/>
        <v>WASPADA</v>
      </c>
      <c r="I17" s="30" t="str">
        <f t="shared" si="2"/>
        <v>2</v>
      </c>
    </row>
    <row r="18" spans="1:9" x14ac:dyDescent="0.25">
      <c r="A18" s="29">
        <f>IK!A18</f>
        <v>13</v>
      </c>
      <c r="B18" s="29" t="str">
        <f>IK!B18</f>
        <v>Sulawesi Tengah</v>
      </c>
      <c r="C18" s="29" t="str">
        <f>IK!C18</f>
        <v>KOTA PALU</v>
      </c>
      <c r="D18" s="30" t="str">
        <f>IK!Z18</f>
        <v>2</v>
      </c>
      <c r="E18" s="30" t="str">
        <f>IA!AV18</f>
        <v>3</v>
      </c>
      <c r="F18" s="30">
        <f>IP!K18</f>
        <v>3</v>
      </c>
      <c r="G18" s="31">
        <f t="shared" si="0"/>
        <v>8</v>
      </c>
      <c r="H18" s="31" t="str">
        <f t="shared" si="1"/>
        <v>AMAN</v>
      </c>
      <c r="I18" s="30" t="str">
        <f t="shared" si="2"/>
        <v>3</v>
      </c>
    </row>
    <row r="19" spans="1:9" x14ac:dyDescent="0.25">
      <c r="A19" s="155" t="str">
        <f>B5&amp;""&amp;B6</f>
        <v>ProvinsiSulawesi Tengah</v>
      </c>
      <c r="B19" s="155"/>
      <c r="C19" s="155"/>
      <c r="D19" s="106" t="str">
        <f>IK!Z19</f>
        <v>2</v>
      </c>
      <c r="E19" s="106" t="str">
        <f>IA!AV19</f>
        <v>3</v>
      </c>
      <c r="F19" s="106">
        <f>IP!K19</f>
        <v>1</v>
      </c>
      <c r="G19" s="107">
        <f t="shared" si="0"/>
        <v>6</v>
      </c>
      <c r="H19" s="107" t="str">
        <f t="shared" si="1"/>
        <v>WASPADA</v>
      </c>
      <c r="I19" s="106" t="str">
        <f t="shared" si="2"/>
        <v>2</v>
      </c>
    </row>
  </sheetData>
  <autoFilter ref="A5:I18" xr:uid="{00000000-0009-0000-0000-000003000000}"/>
  <mergeCells count="2">
    <mergeCell ref="A1:F1"/>
    <mergeCell ref="A19:C19"/>
  </mergeCells>
  <conditionalFormatting sqref="H6:H1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F23" sqref="F23"/>
    </sheetView>
  </sheetViews>
  <sheetFormatPr defaultColWidth="9.140625" defaultRowHeight="15" x14ac:dyDescent="0.25"/>
  <sheetData>
    <row r="1" spans="2:2" x14ac:dyDescent="0.25">
      <c r="B1" s="24">
        <v>44927</v>
      </c>
    </row>
    <row r="2" spans="2:2" x14ac:dyDescent="0.25">
      <c r="B2" s="24">
        <v>44958</v>
      </c>
    </row>
    <row r="3" spans="2:2" x14ac:dyDescent="0.25">
      <c r="B3" s="24">
        <v>44986</v>
      </c>
    </row>
    <row r="4" spans="2:2" x14ac:dyDescent="0.25">
      <c r="B4" s="24">
        <v>45017</v>
      </c>
    </row>
    <row r="5" spans="2:2" x14ac:dyDescent="0.25">
      <c r="B5" s="24">
        <v>45047</v>
      </c>
    </row>
    <row r="6" spans="2:2" x14ac:dyDescent="0.25">
      <c r="B6" s="24">
        <v>45078</v>
      </c>
    </row>
    <row r="7" spans="2:2" x14ac:dyDescent="0.25">
      <c r="B7" s="24">
        <v>45108</v>
      </c>
    </row>
    <row r="8" spans="2:2" x14ac:dyDescent="0.25">
      <c r="B8" s="24">
        <v>45139</v>
      </c>
    </row>
    <row r="9" spans="2:2" x14ac:dyDescent="0.25">
      <c r="B9" s="24">
        <v>45170</v>
      </c>
    </row>
    <row r="10" spans="2:2" x14ac:dyDescent="0.25">
      <c r="B10" s="24">
        <v>45200</v>
      </c>
    </row>
    <row r="11" spans="2:2" x14ac:dyDescent="0.25">
      <c r="B11" s="24">
        <v>45231</v>
      </c>
    </row>
    <row r="12" spans="2:2" x14ac:dyDescent="0.25">
      <c r="B12" s="24">
        <v>45261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 x14ac:dyDescent="0.25">
      <c r="A1" s="115" t="s">
        <v>0</v>
      </c>
      <c r="B1" s="115"/>
      <c r="C1" s="115"/>
    </row>
    <row r="2" spans="1:21" x14ac:dyDescent="0.25">
      <c r="A2" s="118" t="s">
        <v>3</v>
      </c>
      <c r="B2" s="118" t="s">
        <v>4</v>
      </c>
      <c r="C2" s="118" t="s">
        <v>5</v>
      </c>
      <c r="D2" s="156" t="s">
        <v>602</v>
      </c>
      <c r="E2" s="156"/>
      <c r="F2" s="156"/>
      <c r="G2" s="156" t="s">
        <v>603</v>
      </c>
      <c r="H2" s="156"/>
      <c r="I2" s="156"/>
      <c r="J2" s="156" t="s">
        <v>604</v>
      </c>
      <c r="K2" s="156"/>
      <c r="L2" s="156"/>
      <c r="M2" s="156" t="s">
        <v>605</v>
      </c>
      <c r="N2" s="156"/>
      <c r="O2" s="156"/>
      <c r="P2" s="156" t="s">
        <v>606</v>
      </c>
      <c r="Q2" s="156"/>
      <c r="R2" s="156"/>
      <c r="S2" s="156" t="s">
        <v>607</v>
      </c>
      <c r="T2" s="156"/>
      <c r="U2" s="156"/>
    </row>
    <row r="3" spans="1:21" ht="30" customHeight="1" x14ac:dyDescent="0.25">
      <c r="A3" s="118"/>
      <c r="B3" s="118"/>
      <c r="C3" s="118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 x14ac:dyDescent="0.25">
      <c r="A4" s="8">
        <v>1</v>
      </c>
      <c r="B4" s="9" t="s">
        <v>17</v>
      </c>
      <c r="C4" s="10" t="s">
        <v>18</v>
      </c>
      <c r="D4" s="11"/>
      <c r="E4" s="12">
        <f>IK!I6</f>
        <v>4793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25">
      <c r="A5" s="8">
        <v>2</v>
      </c>
      <c r="B5" s="9" t="s">
        <v>17</v>
      </c>
      <c r="C5" s="10" t="s">
        <v>19</v>
      </c>
      <c r="D5" s="13"/>
      <c r="E5" s="12">
        <f>IK!I7</f>
        <v>2004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25">
      <c r="A6" s="8">
        <v>3</v>
      </c>
      <c r="B6" s="9" t="s">
        <v>17</v>
      </c>
      <c r="C6" s="10" t="s">
        <v>20</v>
      </c>
      <c r="D6" s="13"/>
      <c r="E6" s="12">
        <f>IK!I8</f>
        <v>1758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25">
      <c r="A7" s="8">
        <v>4</v>
      </c>
      <c r="B7" s="9" t="s">
        <v>17</v>
      </c>
      <c r="C7" s="10" t="s">
        <v>21</v>
      </c>
      <c r="D7" s="13"/>
      <c r="E7" s="12">
        <f>IK!I9</f>
        <v>1925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25">
      <c r="A8" s="8">
        <v>5</v>
      </c>
      <c r="B8" s="9" t="s">
        <v>17</v>
      </c>
      <c r="C8" s="10" t="s">
        <v>22</v>
      </c>
      <c r="D8" s="13"/>
      <c r="E8" s="12">
        <f>IK!I10</f>
        <v>616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25">
      <c r="A9" s="8">
        <v>6</v>
      </c>
      <c r="B9" s="9" t="s">
        <v>17</v>
      </c>
      <c r="C9" s="10" t="s">
        <v>23</v>
      </c>
      <c r="D9" s="13"/>
      <c r="E9" s="12">
        <f>IK!I11</f>
        <v>592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25">
      <c r="A10" s="8">
        <v>7</v>
      </c>
      <c r="B10" s="9" t="s">
        <v>17</v>
      </c>
      <c r="C10" s="10" t="s">
        <v>24</v>
      </c>
      <c r="D10" s="13"/>
      <c r="E10" s="12">
        <f>IK!I12</f>
        <v>49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25">
      <c r="A11" s="8">
        <v>8</v>
      </c>
      <c r="B11" s="9" t="s">
        <v>17</v>
      </c>
      <c r="C11" s="10" t="s">
        <v>25</v>
      </c>
      <c r="D11" s="13"/>
      <c r="E11" s="12">
        <f>IK!I13</f>
        <v>6172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25">
      <c r="A12" s="8">
        <v>9</v>
      </c>
      <c r="B12" s="9" t="s">
        <v>17</v>
      </c>
      <c r="C12" s="10" t="s">
        <v>26</v>
      </c>
      <c r="D12" s="13"/>
      <c r="E12" s="12">
        <f>IK!I14</f>
        <v>61.74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25">
      <c r="A13" s="8">
        <v>10</v>
      </c>
      <c r="B13" s="9" t="s">
        <v>17</v>
      </c>
      <c r="C13" s="10" t="s">
        <v>27</v>
      </c>
      <c r="D13" s="13"/>
      <c r="E13" s="12">
        <f>IK!I15</f>
        <v>1526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25">
      <c r="A14" s="8">
        <v>11</v>
      </c>
      <c r="B14" s="9" t="s">
        <v>17</v>
      </c>
      <c r="C14" s="10" t="s">
        <v>28</v>
      </c>
      <c r="D14" s="13"/>
      <c r="E14" s="12">
        <f>IK!I16</f>
        <v>0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25">
      <c r="A15" s="8">
        <v>12</v>
      </c>
      <c r="B15" s="9" t="s">
        <v>17</v>
      </c>
      <c r="C15" s="10" t="s">
        <v>29</v>
      </c>
      <c r="D15" s="13"/>
      <c r="E15" s="12">
        <f>IK!I17</f>
        <v>1544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25">
      <c r="A16" s="8">
        <v>13</v>
      </c>
      <c r="B16" s="9" t="s">
        <v>17</v>
      </c>
      <c r="C16" s="10" t="s">
        <v>30</v>
      </c>
      <c r="D16" s="13"/>
      <c r="E16" s="12">
        <f>IK!I18</f>
        <v>7.37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25">
      <c r="A17" s="8">
        <v>14</v>
      </c>
      <c r="B17" s="9" t="s">
        <v>17</v>
      </c>
      <c r="C17" s="10" t="s">
        <v>31</v>
      </c>
      <c r="D17" s="13"/>
      <c r="E17" s="12" t="e">
        <f>IK!#REF!</f>
        <v>#REF!</v>
      </c>
      <c r="F17" s="11" t="e">
        <f t="shared" si="5"/>
        <v>#REF!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25">
      <c r="A18" s="8">
        <v>15</v>
      </c>
      <c r="B18" s="9" t="s">
        <v>17</v>
      </c>
      <c r="C18" s="10" t="s">
        <v>32</v>
      </c>
      <c r="D18" s="13"/>
      <c r="E18" s="12" t="e">
        <f>IK!#REF!</f>
        <v>#REF!</v>
      </c>
      <c r="F18" s="11" t="e">
        <f t="shared" si="5"/>
        <v>#REF!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25">
      <c r="A19" s="8">
        <v>16</v>
      </c>
      <c r="B19" s="9" t="s">
        <v>17</v>
      </c>
      <c r="C19" s="10" t="s">
        <v>33</v>
      </c>
      <c r="D19" s="13"/>
      <c r="E19" s="12" t="e">
        <f>IK!#REF!</f>
        <v>#REF!</v>
      </c>
      <c r="F19" s="11" t="e">
        <f t="shared" si="5"/>
        <v>#REF!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25">
      <c r="A20" s="8">
        <v>17</v>
      </c>
      <c r="B20" s="9" t="s">
        <v>17</v>
      </c>
      <c r="C20" s="10" t="s">
        <v>34</v>
      </c>
      <c r="D20" s="13"/>
      <c r="E20" s="12" t="e">
        <f>IK!#REF!</f>
        <v>#REF!</v>
      </c>
      <c r="F20" s="11" t="e">
        <f t="shared" si="5"/>
        <v>#REF!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25">
      <c r="A21" s="8">
        <v>18</v>
      </c>
      <c r="B21" s="9" t="s">
        <v>17</v>
      </c>
      <c r="C21" s="10" t="s">
        <v>35</v>
      </c>
      <c r="D21" s="13"/>
      <c r="E21" s="12" t="e">
        <f>IK!#REF!</f>
        <v>#REF!</v>
      </c>
      <c r="F21" s="11" t="e">
        <f t="shared" si="5"/>
        <v>#REF!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25">
      <c r="A22" s="8">
        <v>19</v>
      </c>
      <c r="B22" s="9" t="s">
        <v>17</v>
      </c>
      <c r="C22" s="10" t="s">
        <v>36</v>
      </c>
      <c r="D22" s="13"/>
      <c r="E22" s="12" t="e">
        <f>IK!#REF!</f>
        <v>#REF!</v>
      </c>
      <c r="F22" s="11" t="e">
        <f t="shared" si="5"/>
        <v>#REF!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25">
      <c r="A23" s="8">
        <v>20</v>
      </c>
      <c r="B23" s="9" t="s">
        <v>17</v>
      </c>
      <c r="C23" s="10" t="s">
        <v>37</v>
      </c>
      <c r="D23" s="13"/>
      <c r="E23" s="12" t="e">
        <f>IK!#REF!</f>
        <v>#REF!</v>
      </c>
      <c r="F23" s="11" t="e">
        <f t="shared" si="5"/>
        <v>#REF!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25">
      <c r="A24" s="8">
        <v>21</v>
      </c>
      <c r="B24" s="9" t="s">
        <v>17</v>
      </c>
      <c r="C24" s="10" t="s">
        <v>38</v>
      </c>
      <c r="D24" s="13"/>
      <c r="E24" s="12" t="e">
        <f>IK!#REF!</f>
        <v>#REF!</v>
      </c>
      <c r="F24" s="11" t="e">
        <f t="shared" si="5"/>
        <v>#REF!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25">
      <c r="A25" s="8">
        <v>22</v>
      </c>
      <c r="B25" s="9" t="s">
        <v>17</v>
      </c>
      <c r="C25" s="10" t="s">
        <v>39</v>
      </c>
      <c r="D25" s="13"/>
      <c r="E25" s="12" t="e">
        <f>IK!#REF!</f>
        <v>#REF!</v>
      </c>
      <c r="F25" s="11" t="e">
        <f t="shared" si="5"/>
        <v>#REF!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25">
      <c r="A26" s="8">
        <v>23</v>
      </c>
      <c r="B26" s="9" t="s">
        <v>17</v>
      </c>
      <c r="C26" s="10" t="s">
        <v>40</v>
      </c>
      <c r="D26" s="13"/>
      <c r="E26" s="12" t="e">
        <f>IK!#REF!</f>
        <v>#REF!</v>
      </c>
      <c r="F26" s="11" t="e">
        <f t="shared" si="5"/>
        <v>#REF!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25">
      <c r="A27" s="14"/>
      <c r="B27" s="15" t="s">
        <v>17</v>
      </c>
      <c r="C27" s="16"/>
      <c r="D27" s="13"/>
      <c r="E27" s="12" t="e">
        <f>IK!#REF!</f>
        <v>#REF!</v>
      </c>
      <c r="F27" s="11" t="e">
        <f t="shared" si="5"/>
        <v>#REF!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25">
      <c r="A28" s="8">
        <v>24</v>
      </c>
      <c r="B28" s="9" t="s">
        <v>41</v>
      </c>
      <c r="C28" s="10" t="s">
        <v>42</v>
      </c>
      <c r="D28" s="13"/>
      <c r="E28" s="12" t="e">
        <f>IK!#REF!</f>
        <v>#REF!</v>
      </c>
      <c r="F28" s="11" t="e">
        <f t="shared" si="5"/>
        <v>#REF!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25">
      <c r="A29" s="8">
        <v>25</v>
      </c>
      <c r="B29" s="9" t="s">
        <v>41</v>
      </c>
      <c r="C29" s="10" t="s">
        <v>43</v>
      </c>
      <c r="D29" s="13"/>
      <c r="E29" s="12" t="e">
        <f>IK!#REF!</f>
        <v>#REF!</v>
      </c>
      <c r="F29" s="11" t="e">
        <f t="shared" si="5"/>
        <v>#REF!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25">
      <c r="A30" s="8">
        <v>26</v>
      </c>
      <c r="B30" s="9" t="s">
        <v>41</v>
      </c>
      <c r="C30" s="10" t="s">
        <v>44</v>
      </c>
      <c r="D30" s="13"/>
      <c r="E30" s="12" t="e">
        <f>IK!#REF!</f>
        <v>#REF!</v>
      </c>
      <c r="F30" s="11" t="e">
        <f t="shared" si="5"/>
        <v>#REF!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25">
      <c r="A31" s="8">
        <v>27</v>
      </c>
      <c r="B31" s="9" t="s">
        <v>41</v>
      </c>
      <c r="C31" s="10" t="s">
        <v>45</v>
      </c>
      <c r="D31" s="13"/>
      <c r="E31" s="12" t="e">
        <f>IK!#REF!</f>
        <v>#REF!</v>
      </c>
      <c r="F31" s="11" t="e">
        <f t="shared" si="5"/>
        <v>#REF!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25">
      <c r="A32" s="8">
        <v>28</v>
      </c>
      <c r="B32" s="9" t="s">
        <v>41</v>
      </c>
      <c r="C32" s="10" t="s">
        <v>46</v>
      </c>
      <c r="D32" s="13"/>
      <c r="E32" s="12" t="e">
        <f>IK!#REF!</f>
        <v>#REF!</v>
      </c>
      <c r="F32" s="11" t="e">
        <f t="shared" si="5"/>
        <v>#REF!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25">
      <c r="A33" s="8">
        <v>29</v>
      </c>
      <c r="B33" s="9" t="s">
        <v>41</v>
      </c>
      <c r="C33" s="10" t="s">
        <v>47</v>
      </c>
      <c r="D33" s="13"/>
      <c r="E33" s="12" t="e">
        <f>IK!#REF!</f>
        <v>#REF!</v>
      </c>
      <c r="F33" s="11" t="e">
        <f t="shared" si="5"/>
        <v>#REF!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25">
      <c r="A34" s="8">
        <v>30</v>
      </c>
      <c r="B34" s="9" t="s">
        <v>41</v>
      </c>
      <c r="C34" s="10" t="s">
        <v>48</v>
      </c>
      <c r="D34" s="13"/>
      <c r="E34" s="12" t="e">
        <f>IK!#REF!</f>
        <v>#REF!</v>
      </c>
      <c r="F34" s="11" t="e">
        <f t="shared" si="5"/>
        <v>#REF!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25">
      <c r="A35" s="8">
        <v>31</v>
      </c>
      <c r="B35" s="9" t="s">
        <v>41</v>
      </c>
      <c r="C35" s="10" t="s">
        <v>49</v>
      </c>
      <c r="D35" s="13"/>
      <c r="E35" s="12" t="e">
        <f>IK!#REF!</f>
        <v>#REF!</v>
      </c>
      <c r="F35" s="11" t="e">
        <f t="shared" si="5"/>
        <v>#REF!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25">
      <c r="A36" s="8">
        <v>32</v>
      </c>
      <c r="B36" s="9" t="s">
        <v>41</v>
      </c>
      <c r="C36" s="10" t="s">
        <v>50</v>
      </c>
      <c r="D36" s="13"/>
      <c r="E36" s="12" t="e">
        <f>IK!#REF!</f>
        <v>#REF!</v>
      </c>
      <c r="F36" s="11" t="e">
        <f t="shared" si="5"/>
        <v>#REF!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25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25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25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25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25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25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25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25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25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25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25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25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25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25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25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25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25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25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25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25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25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25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25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25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25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25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25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25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25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25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25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25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25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25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25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25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25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25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25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25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25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25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25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25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25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25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25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25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25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25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25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25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25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25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25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25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25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25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25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25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25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25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25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25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25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25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25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25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25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25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25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25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25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25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25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25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25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25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25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25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25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25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25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25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25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25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25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25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25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25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25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25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25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25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25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25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25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25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25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25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25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25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25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25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25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25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25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25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25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25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25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25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25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25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25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25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25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25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25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25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25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25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25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25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25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25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25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25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25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25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25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25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25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25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25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25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25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25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25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25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25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25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25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25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25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25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25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25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25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25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25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25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25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25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25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25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25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25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25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25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25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25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25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25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25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25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25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25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25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25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25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25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25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25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25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25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25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25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25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25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25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25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25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25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25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25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25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25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25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25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25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25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25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25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25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25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25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25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25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25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25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25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25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25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25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25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25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25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25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25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25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25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25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25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25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25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25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25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25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25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25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25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25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25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25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25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25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25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25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25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25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25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25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25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25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25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25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25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25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25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25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25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25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25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25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25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25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25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25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25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25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25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25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25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25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25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25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25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25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25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25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25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25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25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25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25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25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25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25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25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25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25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25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25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25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25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25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25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25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25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25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25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25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25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25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25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25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25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25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25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25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25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25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25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25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25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25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25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25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25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25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25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25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25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25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25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25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25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25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25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25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25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25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25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25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25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25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25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25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25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25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25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25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25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25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25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25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25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25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25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25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25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25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25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25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25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25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25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25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25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25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25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25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25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25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25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25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25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25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25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25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25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25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25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25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25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25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25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25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25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25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25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25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25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25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25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25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25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25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25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25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25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25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25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25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25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25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25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25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25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25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25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25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25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25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25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25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25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25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25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25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25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25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25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25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25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25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25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25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25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25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25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25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25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25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25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25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25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25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25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25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25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25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25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25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25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25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25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25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25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25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25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25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25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25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25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25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25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25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25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25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25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25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25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25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25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25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25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25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25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25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25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25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25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25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25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25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25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25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25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25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25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25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25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25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25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25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25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25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25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25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25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25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25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25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25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25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25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25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25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25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25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25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25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25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25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25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25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25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25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25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25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25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25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25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25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25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25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25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25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25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25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25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25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25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25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25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25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25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25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25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25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25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25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25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25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25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25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25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25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25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25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25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25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25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25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2023-11-06T04:01:07Z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